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fahad\OneDrive\Desktop\TONY MAHARAJ\FINAL FINAL\"/>
    </mc:Choice>
  </mc:AlternateContent>
  <xr:revisionPtr revIDLastSave="0" documentId="13_ncr:1_{75D03547-0D90-424E-92A7-48247D707FC2}" xr6:coauthVersionLast="47" xr6:coauthVersionMax="47" xr10:uidLastSave="{00000000-0000-0000-0000-000000000000}"/>
  <bookViews>
    <workbookView xWindow="-108" yWindow="-108" windowWidth="23256" windowHeight="12456" tabRatio="827" xr2:uid="{00000000-000D-0000-FFFF-FFFF00000000}"/>
  </bookViews>
  <sheets>
    <sheet name="SUMMARY" sheetId="3" r:id="rId1"/>
    <sheet name="ESTIMATE" sheetId="2" r:id="rId2"/>
  </sheets>
  <definedNames>
    <definedName name="_xlnm._FilterDatabase" localSheetId="1" hidden="1">ESTIMATE!$B$26:$P$405</definedName>
    <definedName name="_xlnm.Print_Area" localSheetId="1">ESTIMATE!$A$8:$P$407</definedName>
    <definedName name="_xlnm.Print_Area" localSheetId="0">SUMMARY!$A$1:$M$35</definedName>
    <definedName name="_xlnm.Print_Titles" localSheetId="1">ESTIMATE!#REF!</definedName>
    <definedName name="_xlnm.Print_Titles" localSheetId="0">SUMMARY!$7:$7</definedName>
    <definedName name="Z_5D814AB1_BC97_4AEA_A097_E3C150B3E44D_.wvu.PrintArea" localSheetId="1" hidden="1">ESTIMATE!$A$8:$P$407</definedName>
    <definedName name="Z_5D814AB1_BC97_4AEA_A097_E3C150B3E44D_.wvu.PrintArea" localSheetId="0" hidden="1">SUMMARY!$A$1:$M$35</definedName>
    <definedName name="Z_5D814AB1_BC97_4AEA_A097_E3C150B3E44D_.wvu.PrintTitles" localSheetId="1" hidden="1">ESTIMATE!#REF!</definedName>
    <definedName name="Z_5D814AB1_BC97_4AEA_A097_E3C150B3E44D_.wvu.PrintTitles" localSheetId="0" hidden="1">SUMMARY!$7:$7</definedName>
  </definedNames>
  <calcPr calcId="191029"/>
  <customWorkbookViews>
    <customWorkbookView name="7" guid="{5D814AB1-BC97-4AEA-A097-E3C150B3E44D}" maximized="1" xWindow="-8" yWindow="-8" windowWidth="1382" windowHeight="744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1" i="2" l="1"/>
  <c r="O51" i="2" s="1"/>
  <c r="P51" i="2" s="1"/>
  <c r="M51" i="2"/>
  <c r="K51" i="2"/>
  <c r="L51" i="2" s="1"/>
  <c r="F51" i="2"/>
  <c r="I51" i="2" s="1"/>
  <c r="N50" i="2"/>
  <c r="M50" i="2"/>
  <c r="K50" i="2"/>
  <c r="L50" i="2" s="1"/>
  <c r="F50" i="2"/>
  <c r="I50" i="2" s="1"/>
  <c r="N49" i="2"/>
  <c r="O49" i="2" s="1"/>
  <c r="P49" i="2" s="1"/>
  <c r="M49" i="2"/>
  <c r="K49" i="2"/>
  <c r="L49" i="2" s="1"/>
  <c r="F49" i="2"/>
  <c r="I49" i="2" s="1"/>
  <c r="N48" i="2"/>
  <c r="M48" i="2"/>
  <c r="K48" i="2"/>
  <c r="L48" i="2" s="1"/>
  <c r="F48" i="2"/>
  <c r="I48" i="2" s="1"/>
  <c r="N47" i="2"/>
  <c r="O47" i="2" s="1"/>
  <c r="P47" i="2" s="1"/>
  <c r="M47" i="2"/>
  <c r="K47" i="2"/>
  <c r="L47" i="2" s="1"/>
  <c r="F47" i="2"/>
  <c r="I47" i="2" s="1"/>
  <c r="N46" i="2"/>
  <c r="M46" i="2"/>
  <c r="K46" i="2"/>
  <c r="L46" i="2" s="1"/>
  <c r="F46" i="2"/>
  <c r="I46" i="2" s="1"/>
  <c r="N45" i="2"/>
  <c r="O45" i="2" s="1"/>
  <c r="P45" i="2" s="1"/>
  <c r="M45" i="2"/>
  <c r="K45" i="2"/>
  <c r="L45" i="2" s="1"/>
  <c r="F45" i="2"/>
  <c r="I45" i="2" s="1"/>
  <c r="N44" i="2"/>
  <c r="M44" i="2"/>
  <c r="K44" i="2"/>
  <c r="L44" i="2" s="1"/>
  <c r="F44" i="2"/>
  <c r="I44" i="2" s="1"/>
  <c r="N43" i="2"/>
  <c r="O43" i="2" s="1"/>
  <c r="P43" i="2" s="1"/>
  <c r="M43" i="2"/>
  <c r="K43" i="2"/>
  <c r="L43" i="2" s="1"/>
  <c r="F43" i="2"/>
  <c r="I43" i="2" s="1"/>
  <c r="N42" i="2"/>
  <c r="M42" i="2"/>
  <c r="K42" i="2"/>
  <c r="L42" i="2" s="1"/>
  <c r="F42" i="2"/>
  <c r="I42" i="2" s="1"/>
  <c r="N41" i="2"/>
  <c r="O41" i="2" s="1"/>
  <c r="P41" i="2" s="1"/>
  <c r="M41" i="2"/>
  <c r="K41" i="2"/>
  <c r="L41" i="2" s="1"/>
  <c r="F41" i="2"/>
  <c r="I41" i="2" s="1"/>
  <c r="N40" i="2"/>
  <c r="M40" i="2"/>
  <c r="K40" i="2"/>
  <c r="L40" i="2" s="1"/>
  <c r="F40" i="2"/>
  <c r="I40" i="2" s="1"/>
  <c r="N39" i="2"/>
  <c r="O39" i="2" s="1"/>
  <c r="P39" i="2" s="1"/>
  <c r="M39" i="2"/>
  <c r="K39" i="2"/>
  <c r="L39" i="2" s="1"/>
  <c r="F39" i="2"/>
  <c r="I39" i="2" s="1"/>
  <c r="N38" i="2"/>
  <c r="M38" i="2"/>
  <c r="K38" i="2"/>
  <c r="L38" i="2" s="1"/>
  <c r="F38" i="2"/>
  <c r="I38" i="2" s="1"/>
  <c r="N37" i="2"/>
  <c r="O37" i="2" s="1"/>
  <c r="P37" i="2" s="1"/>
  <c r="M37" i="2"/>
  <c r="K37" i="2"/>
  <c r="L37" i="2" s="1"/>
  <c r="F37" i="2"/>
  <c r="I37" i="2" s="1"/>
  <c r="N36" i="2"/>
  <c r="M36" i="2"/>
  <c r="K36" i="2"/>
  <c r="L36" i="2" s="1"/>
  <c r="F36" i="2"/>
  <c r="I36" i="2" s="1"/>
  <c r="N35" i="2"/>
  <c r="O35" i="2" s="1"/>
  <c r="P35" i="2" s="1"/>
  <c r="M35" i="2"/>
  <c r="K35" i="2"/>
  <c r="L35" i="2" s="1"/>
  <c r="F35" i="2"/>
  <c r="I35" i="2" s="1"/>
  <c r="N34" i="2"/>
  <c r="M34" i="2"/>
  <c r="K34" i="2"/>
  <c r="L34" i="2" s="1"/>
  <c r="F34" i="2"/>
  <c r="I34" i="2" s="1"/>
  <c r="N33" i="2"/>
  <c r="O33" i="2" s="1"/>
  <c r="P33" i="2" s="1"/>
  <c r="M33" i="2"/>
  <c r="K33" i="2"/>
  <c r="L33" i="2" s="1"/>
  <c r="F33" i="2"/>
  <c r="I33" i="2" s="1"/>
  <c r="N32" i="2"/>
  <c r="M32" i="2"/>
  <c r="K32" i="2"/>
  <c r="L32" i="2" s="1"/>
  <c r="F32" i="2"/>
  <c r="I32" i="2" s="1"/>
  <c r="N31" i="2"/>
  <c r="O31" i="2" s="1"/>
  <c r="P31" i="2" s="1"/>
  <c r="M31" i="2"/>
  <c r="K31" i="2"/>
  <c r="L31" i="2" s="1"/>
  <c r="F31" i="2"/>
  <c r="I31" i="2" s="1"/>
  <c r="N30" i="2"/>
  <c r="M30" i="2"/>
  <c r="K30" i="2"/>
  <c r="L30" i="2" s="1"/>
  <c r="F30" i="2"/>
  <c r="I30" i="2" s="1"/>
  <c r="N29" i="2"/>
  <c r="O29" i="2" s="1"/>
  <c r="P29" i="2" s="1"/>
  <c r="M29" i="2"/>
  <c r="K29" i="2"/>
  <c r="L29" i="2" s="1"/>
  <c r="F29" i="2"/>
  <c r="I29" i="2" s="1"/>
  <c r="N28" i="2"/>
  <c r="M28" i="2"/>
  <c r="K28" i="2"/>
  <c r="L28" i="2" s="1"/>
  <c r="F28" i="2"/>
  <c r="I28" i="2" s="1"/>
  <c r="N27" i="2"/>
  <c r="O27" i="2" s="1"/>
  <c r="P27" i="2" s="1"/>
  <c r="M27" i="2"/>
  <c r="K27" i="2"/>
  <c r="L27" i="2" s="1"/>
  <c r="F27" i="2"/>
  <c r="I27" i="2" s="1"/>
  <c r="M217" i="2"/>
  <c r="M210" i="2"/>
  <c r="M211" i="2"/>
  <c r="M212" i="2"/>
  <c r="M213" i="2"/>
  <c r="M214" i="2"/>
  <c r="M215" i="2"/>
  <c r="M218" i="2"/>
  <c r="M219" i="2"/>
  <c r="M220" i="2"/>
  <c r="M222" i="2"/>
  <c r="M223" i="2"/>
  <c r="M225" i="2"/>
  <c r="M209" i="2"/>
  <c r="N22" i="2"/>
  <c r="F22" i="2"/>
  <c r="I22" i="2" s="1"/>
  <c r="N21" i="2"/>
  <c r="F21" i="2"/>
  <c r="I21" i="2" s="1"/>
  <c r="N20" i="2"/>
  <c r="F20" i="2"/>
  <c r="I20" i="2" s="1"/>
  <c r="N19" i="2"/>
  <c r="F19" i="2"/>
  <c r="I19" i="2" s="1"/>
  <c r="O19" i="2" s="1"/>
  <c r="N18" i="2"/>
  <c r="F18" i="2"/>
  <c r="I18" i="2" s="1"/>
  <c r="N17" i="2"/>
  <c r="F17" i="2"/>
  <c r="I17" i="2" s="1"/>
  <c r="N16" i="2"/>
  <c r="F16" i="2"/>
  <c r="I16" i="2" s="1"/>
  <c r="N15" i="2"/>
  <c r="F15" i="2"/>
  <c r="I15" i="2" s="1"/>
  <c r="O15" i="2" s="1"/>
  <c r="N14" i="2"/>
  <c r="F14" i="2"/>
  <c r="I14" i="2" s="1"/>
  <c r="N13" i="2"/>
  <c r="F13" i="2"/>
  <c r="I13" i="2" s="1"/>
  <c r="O13" i="2" s="1"/>
  <c r="N11" i="2"/>
  <c r="F11" i="2"/>
  <c r="I11" i="2" s="1"/>
  <c r="O11" i="2" s="1"/>
  <c r="N10" i="2"/>
  <c r="F10" i="2"/>
  <c r="I10" i="2" s="1"/>
  <c r="O10" i="2" s="1"/>
  <c r="A12" i="2"/>
  <c r="A23" i="2"/>
  <c r="A24" i="2"/>
  <c r="A25" i="2"/>
  <c r="A52" i="2"/>
  <c r="A53" i="2"/>
  <c r="A54" i="2"/>
  <c r="A55" i="2"/>
  <c r="A59" i="2"/>
  <c r="A64" i="2"/>
  <c r="A66" i="2"/>
  <c r="A69" i="2"/>
  <c r="A70" i="2"/>
  <c r="A71" i="2"/>
  <c r="A72" i="2"/>
  <c r="A85" i="2"/>
  <c r="A86" i="2"/>
  <c r="A87" i="2"/>
  <c r="A88" i="2"/>
  <c r="A89" i="2"/>
  <c r="A91" i="2"/>
  <c r="A105" i="2"/>
  <c r="A107" i="2"/>
  <c r="A108" i="2"/>
  <c r="A109" i="2"/>
  <c r="A110" i="2"/>
  <c r="A112" i="2"/>
  <c r="A117" i="2"/>
  <c r="A121" i="2"/>
  <c r="A126" i="2"/>
  <c r="A133" i="2"/>
  <c r="A136" i="2"/>
  <c r="A145" i="2"/>
  <c r="A158" i="2"/>
  <c r="A163" i="2"/>
  <c r="A166" i="2"/>
  <c r="A168" i="2"/>
  <c r="A172" i="2"/>
  <c r="A173" i="2"/>
  <c r="A174" i="2"/>
  <c r="A175" i="2"/>
  <c r="A178" i="2"/>
  <c r="A190" i="2"/>
  <c r="A197" i="2"/>
  <c r="A202" i="2"/>
  <c r="A205" i="2"/>
  <c r="A206" i="2"/>
  <c r="A207" i="2"/>
  <c r="A208" i="2"/>
  <c r="A216" i="2"/>
  <c r="A221" i="2"/>
  <c r="A224" i="2"/>
  <c r="A226" i="2"/>
  <c r="A227" i="2"/>
  <c r="A228" i="2"/>
  <c r="A229" i="2"/>
  <c r="A232" i="2"/>
  <c r="A235" i="2"/>
  <c r="A237" i="2"/>
  <c r="A238" i="2"/>
  <c r="A239" i="2"/>
  <c r="A240" i="2"/>
  <c r="A242" i="2"/>
  <c r="A243" i="2"/>
  <c r="A244" i="2"/>
  <c r="A245" i="2"/>
  <c r="A247" i="2"/>
  <c r="A248" i="2"/>
  <c r="A249" i="2"/>
  <c r="A250" i="2"/>
  <c r="A251" i="2"/>
  <c r="A253" i="2"/>
  <c r="A255" i="2"/>
  <c r="A256" i="2"/>
  <c r="A257" i="2"/>
  <c r="A258" i="2"/>
  <c r="A260" i="2"/>
  <c r="A261" i="2"/>
  <c r="A262" i="2"/>
  <c r="A263" i="2"/>
  <c r="A264" i="2"/>
  <c r="A266" i="2"/>
  <c r="A267" i="2"/>
  <c r="A270" i="2"/>
  <c r="A273" i="2"/>
  <c r="A278" i="2"/>
  <c r="A291" i="2"/>
  <c r="A292" i="2"/>
  <c r="A293" i="2"/>
  <c r="A294" i="2"/>
  <c r="A302" i="2"/>
  <c r="A304" i="2"/>
  <c r="A305" i="2"/>
  <c r="A306" i="2"/>
  <c r="A307" i="2"/>
  <c r="A313" i="2"/>
  <c r="A314" i="2"/>
  <c r="A315" i="2"/>
  <c r="A316" i="2"/>
  <c r="A320" i="2"/>
  <c r="A321" i="2"/>
  <c r="A322" i="2"/>
  <c r="A323" i="2"/>
  <c r="A324" i="2"/>
  <c r="A330" i="2"/>
  <c r="A336" i="2"/>
  <c r="A343" i="2"/>
  <c r="A345" i="2"/>
  <c r="A347" i="2"/>
  <c r="A349" i="2"/>
  <c r="A350" i="2"/>
  <c r="A351" i="2"/>
  <c r="A352" i="2"/>
  <c r="A354" i="2"/>
  <c r="A359" i="2"/>
  <c r="A361" i="2"/>
  <c r="A362" i="2"/>
  <c r="A363" i="2"/>
  <c r="A364" i="2"/>
  <c r="A369" i="2"/>
  <c r="A373" i="2"/>
  <c r="A378" i="2"/>
  <c r="A380" i="2"/>
  <c r="A382" i="2"/>
  <c r="A384" i="2"/>
  <c r="A385" i="2"/>
  <c r="A386" i="2"/>
  <c r="A387" i="2"/>
  <c r="A389" i="2"/>
  <c r="A392" i="2"/>
  <c r="A396" i="2"/>
  <c r="O28" i="2" l="1"/>
  <c r="P28" i="2" s="1"/>
  <c r="O32" i="2"/>
  <c r="P32" i="2" s="1"/>
  <c r="O34" i="2"/>
  <c r="P34" i="2" s="1"/>
  <c r="O36" i="2"/>
  <c r="P36" i="2" s="1"/>
  <c r="O42" i="2"/>
  <c r="P42" i="2" s="1"/>
  <c r="O44" i="2"/>
  <c r="P44" i="2" s="1"/>
  <c r="O46" i="2"/>
  <c r="P46" i="2" s="1"/>
  <c r="O48" i="2"/>
  <c r="P48" i="2" s="1"/>
  <c r="O50" i="2"/>
  <c r="P50" i="2" s="1"/>
  <c r="O30" i="2"/>
  <c r="P30" i="2" s="1"/>
  <c r="O40" i="2"/>
  <c r="P40" i="2" s="1"/>
  <c r="O38" i="2"/>
  <c r="P38" i="2" s="1"/>
  <c r="O16" i="2"/>
  <c r="O20" i="2"/>
  <c r="O14" i="2"/>
  <c r="O21" i="2"/>
  <c r="O18" i="2"/>
  <c r="O17" i="2"/>
  <c r="O22" i="2"/>
  <c r="N171" i="2"/>
  <c r="M171" i="2"/>
  <c r="F171" i="2"/>
  <c r="I171" i="2" s="1"/>
  <c r="O171" i="2" l="1"/>
  <c r="P171" i="2" s="1"/>
  <c r="K171" i="2"/>
  <c r="L171" i="2" s="1"/>
  <c r="M366" i="2" l="1"/>
  <c r="M367" i="2"/>
  <c r="M368" i="2"/>
  <c r="M370" i="2"/>
  <c r="M371" i="2"/>
  <c r="M372" i="2"/>
  <c r="M374" i="2"/>
  <c r="M375" i="2"/>
  <c r="M376" i="2"/>
  <c r="M377" i="2"/>
  <c r="M379" i="2"/>
  <c r="M381" i="2"/>
  <c r="M383" i="2"/>
  <c r="M365" i="2"/>
  <c r="M355" i="2"/>
  <c r="M356" i="2"/>
  <c r="M357" i="2"/>
  <c r="M358" i="2"/>
  <c r="M360" i="2"/>
  <c r="M353" i="2"/>
  <c r="M326" i="2"/>
  <c r="M327" i="2"/>
  <c r="M328" i="2"/>
  <c r="M329" i="2"/>
  <c r="M331" i="2"/>
  <c r="M332" i="2"/>
  <c r="M333" i="2"/>
  <c r="M334" i="2"/>
  <c r="M335" i="2"/>
  <c r="M337" i="2"/>
  <c r="M338" i="2"/>
  <c r="M339" i="2"/>
  <c r="M340" i="2"/>
  <c r="M341" i="2"/>
  <c r="M342" i="2"/>
  <c r="M344" i="2"/>
  <c r="M345" i="2"/>
  <c r="M346" i="2"/>
  <c r="M348" i="2"/>
  <c r="M325" i="2"/>
  <c r="M318" i="2"/>
  <c r="M319" i="2"/>
  <c r="M317" i="2"/>
  <c r="M309" i="2"/>
  <c r="M310" i="2"/>
  <c r="M311" i="2"/>
  <c r="M312" i="2"/>
  <c r="M308" i="2"/>
  <c r="M296" i="2"/>
  <c r="M297" i="2"/>
  <c r="M298" i="2"/>
  <c r="M299" i="2"/>
  <c r="M300" i="2"/>
  <c r="M301" i="2"/>
  <c r="M303" i="2"/>
  <c r="M295" i="2"/>
  <c r="M271" i="2"/>
  <c r="M272" i="2"/>
  <c r="M273" i="2"/>
  <c r="M274" i="2"/>
  <c r="M275" i="2"/>
  <c r="M276" i="2"/>
  <c r="M277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54" i="2"/>
  <c r="M259" i="2"/>
  <c r="M233" i="2"/>
  <c r="M234" i="2"/>
  <c r="M231" i="2"/>
  <c r="M230" i="2"/>
  <c r="M113" i="2"/>
  <c r="M114" i="2"/>
  <c r="M115" i="2"/>
  <c r="M116" i="2"/>
  <c r="M118" i="2"/>
  <c r="M119" i="2"/>
  <c r="M120" i="2"/>
  <c r="M122" i="2"/>
  <c r="M123" i="2"/>
  <c r="M124" i="2"/>
  <c r="M125" i="2"/>
  <c r="M127" i="2"/>
  <c r="M128" i="2"/>
  <c r="M129" i="2"/>
  <c r="M130" i="2"/>
  <c r="M131" i="2"/>
  <c r="M132" i="2"/>
  <c r="M134" i="2"/>
  <c r="M135" i="2"/>
  <c r="M137" i="2"/>
  <c r="M138" i="2"/>
  <c r="M139" i="2"/>
  <c r="M140" i="2"/>
  <c r="M141" i="2"/>
  <c r="M142" i="2"/>
  <c r="M143" i="2"/>
  <c r="M144" i="2"/>
  <c r="M146" i="2"/>
  <c r="M149" i="2"/>
  <c r="M152" i="2"/>
  <c r="M155" i="2"/>
  <c r="M159" i="2"/>
  <c r="M160" i="2"/>
  <c r="M161" i="2"/>
  <c r="M162" i="2"/>
  <c r="M164" i="2"/>
  <c r="M165" i="2"/>
  <c r="M167" i="2"/>
  <c r="M169" i="2"/>
  <c r="M170" i="2"/>
  <c r="M111" i="2"/>
  <c r="M390" i="2"/>
  <c r="M391" i="2"/>
  <c r="M393" i="2"/>
  <c r="M394" i="2"/>
  <c r="M395" i="2"/>
  <c r="M397" i="2"/>
  <c r="M388" i="2"/>
  <c r="M177" i="2"/>
  <c r="M179" i="2"/>
  <c r="M180" i="2"/>
  <c r="M181" i="2"/>
  <c r="M182" i="2"/>
  <c r="M183" i="2"/>
  <c r="M184" i="2"/>
  <c r="M185" i="2"/>
  <c r="M186" i="2"/>
  <c r="M187" i="2"/>
  <c r="M188" i="2"/>
  <c r="M189" i="2"/>
  <c r="M191" i="2"/>
  <c r="M192" i="2"/>
  <c r="M193" i="2"/>
  <c r="M194" i="2"/>
  <c r="M195" i="2"/>
  <c r="M196" i="2"/>
  <c r="M198" i="2"/>
  <c r="M199" i="2"/>
  <c r="M200" i="2"/>
  <c r="M201" i="2"/>
  <c r="M203" i="2"/>
  <c r="M204" i="2"/>
  <c r="M176" i="2"/>
  <c r="N193" i="2"/>
  <c r="F193" i="2"/>
  <c r="I193" i="2" s="1"/>
  <c r="N167" i="2"/>
  <c r="F167" i="2"/>
  <c r="I167" i="2" s="1"/>
  <c r="N104" i="2"/>
  <c r="M104" i="2"/>
  <c r="F104" i="2"/>
  <c r="I104" i="2" s="1"/>
  <c r="N103" i="2"/>
  <c r="M103" i="2"/>
  <c r="F103" i="2"/>
  <c r="I103" i="2" s="1"/>
  <c r="N102" i="2"/>
  <c r="M102" i="2"/>
  <c r="F102" i="2"/>
  <c r="I102" i="2" s="1"/>
  <c r="N99" i="2"/>
  <c r="M99" i="2"/>
  <c r="F99" i="2"/>
  <c r="I99" i="2" s="1"/>
  <c r="N135" i="2"/>
  <c r="F135" i="2"/>
  <c r="I135" i="2" s="1"/>
  <c r="N189" i="2"/>
  <c r="F189" i="2"/>
  <c r="I189" i="2" s="1"/>
  <c r="N223" i="2"/>
  <c r="F223" i="2"/>
  <c r="I223" i="2" s="1"/>
  <c r="N222" i="2"/>
  <c r="F222" i="2"/>
  <c r="I222" i="2" s="1"/>
  <c r="D73" i="2"/>
  <c r="D79" i="2"/>
  <c r="N79" i="2" s="1"/>
  <c r="M81" i="2"/>
  <c r="M79" i="2"/>
  <c r="D76" i="2"/>
  <c r="F76" i="2" s="1"/>
  <c r="I76" i="2" s="1"/>
  <c r="M78" i="2"/>
  <c r="M76" i="2"/>
  <c r="F120" i="2"/>
  <c r="I120" i="2" s="1"/>
  <c r="F119" i="2"/>
  <c r="I119" i="2" s="1"/>
  <c r="F118" i="2"/>
  <c r="I118" i="2" s="1"/>
  <c r="F116" i="2"/>
  <c r="I116" i="2" s="1"/>
  <c r="F115" i="2"/>
  <c r="I115" i="2" s="1"/>
  <c r="F114" i="2"/>
  <c r="I114" i="2" s="1"/>
  <c r="F113" i="2"/>
  <c r="I113" i="2" s="1"/>
  <c r="F111" i="2"/>
  <c r="I111" i="2" s="1"/>
  <c r="K135" i="2" l="1"/>
  <c r="O193" i="2"/>
  <c r="P193" i="2" s="1"/>
  <c r="K193" i="2"/>
  <c r="L193" i="2" s="1"/>
  <c r="O167" i="2"/>
  <c r="P167" i="2" s="1"/>
  <c r="O103" i="2"/>
  <c r="P103" i="2" s="1"/>
  <c r="K167" i="2"/>
  <c r="L167" i="2" s="1"/>
  <c r="K103" i="2"/>
  <c r="L103" i="2" s="1"/>
  <c r="O104" i="2"/>
  <c r="P104" i="2" s="1"/>
  <c r="K104" i="2"/>
  <c r="L104" i="2" s="1"/>
  <c r="O102" i="2"/>
  <c r="P102" i="2" s="1"/>
  <c r="K102" i="2"/>
  <c r="L102" i="2" s="1"/>
  <c r="O99" i="2"/>
  <c r="P99" i="2" s="1"/>
  <c r="K99" i="2"/>
  <c r="L99" i="2" s="1"/>
  <c r="O135" i="2"/>
  <c r="P135" i="2" s="1"/>
  <c r="O189" i="2"/>
  <c r="P189" i="2" s="1"/>
  <c r="O223" i="2"/>
  <c r="P223" i="2" s="1"/>
  <c r="O222" i="2"/>
  <c r="P222" i="2" s="1"/>
  <c r="N76" i="2"/>
  <c r="K76" i="2" s="1"/>
  <c r="L76" i="2" s="1"/>
  <c r="F79" i="2"/>
  <c r="I79" i="2" s="1"/>
  <c r="K79" i="2"/>
  <c r="L79" i="2" s="1"/>
  <c r="D78" i="2"/>
  <c r="D77" i="2"/>
  <c r="A398" i="2"/>
  <c r="D393" i="2"/>
  <c r="N393" i="2" s="1"/>
  <c r="N391" i="2"/>
  <c r="F391" i="2"/>
  <c r="I391" i="2" s="1"/>
  <c r="N390" i="2"/>
  <c r="F390" i="2"/>
  <c r="I390" i="2" s="1"/>
  <c r="D388" i="2"/>
  <c r="N388" i="2" s="1"/>
  <c r="N319" i="2"/>
  <c r="F319" i="2"/>
  <c r="I319" i="2" s="1"/>
  <c r="N318" i="2"/>
  <c r="F318" i="2"/>
  <c r="I318" i="2" s="1"/>
  <c r="N317" i="2"/>
  <c r="F317" i="2"/>
  <c r="I317" i="2" s="1"/>
  <c r="N312" i="2"/>
  <c r="F312" i="2"/>
  <c r="I312" i="2" s="1"/>
  <c r="N311" i="2"/>
  <c r="F311" i="2"/>
  <c r="I311" i="2" s="1"/>
  <c r="N310" i="2"/>
  <c r="F310" i="2"/>
  <c r="I310" i="2" s="1"/>
  <c r="N309" i="2"/>
  <c r="F309" i="2"/>
  <c r="I309" i="2" s="1"/>
  <c r="N308" i="2"/>
  <c r="F308" i="2"/>
  <c r="I308" i="2" s="1"/>
  <c r="N353" i="2"/>
  <c r="F353" i="2"/>
  <c r="I353" i="2" s="1"/>
  <c r="N303" i="2"/>
  <c r="F303" i="2"/>
  <c r="I303" i="2" s="1"/>
  <c r="N301" i="2"/>
  <c r="F301" i="2"/>
  <c r="I301" i="2" s="1"/>
  <c r="N300" i="2"/>
  <c r="F300" i="2"/>
  <c r="I300" i="2" s="1"/>
  <c r="N299" i="2"/>
  <c r="F299" i="2"/>
  <c r="I299" i="2" s="1"/>
  <c r="N298" i="2"/>
  <c r="F298" i="2"/>
  <c r="I298" i="2" s="1"/>
  <c r="N297" i="2"/>
  <c r="F297" i="2"/>
  <c r="I297" i="2" s="1"/>
  <c r="N296" i="2"/>
  <c r="F296" i="2"/>
  <c r="I296" i="2" s="1"/>
  <c r="N295" i="2"/>
  <c r="F295" i="2"/>
  <c r="I295" i="2" s="1"/>
  <c r="N288" i="2"/>
  <c r="F288" i="2"/>
  <c r="I288" i="2" s="1"/>
  <c r="N287" i="2"/>
  <c r="F287" i="2"/>
  <c r="I287" i="2" s="1"/>
  <c r="N286" i="2"/>
  <c r="F286" i="2"/>
  <c r="I286" i="2" s="1"/>
  <c r="N285" i="2"/>
  <c r="F285" i="2"/>
  <c r="I285" i="2" s="1"/>
  <c r="N284" i="2"/>
  <c r="F284" i="2"/>
  <c r="I284" i="2" s="1"/>
  <c r="N283" i="2"/>
  <c r="F283" i="2"/>
  <c r="I283" i="2" s="1"/>
  <c r="N282" i="2"/>
  <c r="F282" i="2"/>
  <c r="I282" i="2" s="1"/>
  <c r="N281" i="2"/>
  <c r="F281" i="2"/>
  <c r="I281" i="2" s="1"/>
  <c r="N280" i="2"/>
  <c r="F280" i="2"/>
  <c r="I280" i="2" s="1"/>
  <c r="N279" i="2"/>
  <c r="F279" i="2"/>
  <c r="I279" i="2" s="1"/>
  <c r="N277" i="2"/>
  <c r="F277" i="2"/>
  <c r="I277" i="2" s="1"/>
  <c r="N276" i="2"/>
  <c r="F276" i="2"/>
  <c r="I276" i="2" s="1"/>
  <c r="N275" i="2"/>
  <c r="F275" i="2"/>
  <c r="I275" i="2" s="1"/>
  <c r="N274" i="2"/>
  <c r="F274" i="2"/>
  <c r="I274" i="2" s="1"/>
  <c r="N272" i="2"/>
  <c r="F272" i="2"/>
  <c r="I272" i="2" s="1"/>
  <c r="N271" i="2"/>
  <c r="F271" i="2"/>
  <c r="I271" i="2" s="1"/>
  <c r="N259" i="2"/>
  <c r="F259" i="2"/>
  <c r="I259" i="2" s="1"/>
  <c r="N254" i="2"/>
  <c r="F254" i="2"/>
  <c r="N234" i="2"/>
  <c r="F234" i="2"/>
  <c r="I234" i="2" s="1"/>
  <c r="N233" i="2"/>
  <c r="F233" i="2"/>
  <c r="I233" i="2" s="1"/>
  <c r="N231" i="2"/>
  <c r="F231" i="2"/>
  <c r="I231" i="2" s="1"/>
  <c r="N230" i="2"/>
  <c r="F230" i="2"/>
  <c r="I230" i="2" s="1"/>
  <c r="N225" i="2"/>
  <c r="F225" i="2"/>
  <c r="I225" i="2" s="1"/>
  <c r="N220" i="2"/>
  <c r="F220" i="2"/>
  <c r="I220" i="2" s="1"/>
  <c r="N219" i="2"/>
  <c r="F219" i="2"/>
  <c r="I219" i="2" s="1"/>
  <c r="N218" i="2"/>
  <c r="F218" i="2"/>
  <c r="I218" i="2" s="1"/>
  <c r="N217" i="2"/>
  <c r="F217" i="2"/>
  <c r="I217" i="2" s="1"/>
  <c r="N215" i="2"/>
  <c r="F215" i="2"/>
  <c r="I215" i="2" s="1"/>
  <c r="N214" i="2"/>
  <c r="F214" i="2"/>
  <c r="I214" i="2" s="1"/>
  <c r="N213" i="2"/>
  <c r="F213" i="2"/>
  <c r="I213" i="2" s="1"/>
  <c r="N212" i="2"/>
  <c r="F212" i="2"/>
  <c r="I212" i="2" s="1"/>
  <c r="N211" i="2"/>
  <c r="F211" i="2"/>
  <c r="I211" i="2" s="1"/>
  <c r="N210" i="2"/>
  <c r="F210" i="2"/>
  <c r="I210" i="2" s="1"/>
  <c r="N209" i="2"/>
  <c r="F209" i="2"/>
  <c r="I209" i="2" s="1"/>
  <c r="N290" i="2"/>
  <c r="F290" i="2"/>
  <c r="I290" i="2" s="1"/>
  <c r="N204" i="2"/>
  <c r="F204" i="2"/>
  <c r="I204" i="2" s="1"/>
  <c r="N203" i="2"/>
  <c r="F203" i="2"/>
  <c r="I203" i="2" s="1"/>
  <c r="N289" i="2"/>
  <c r="F289" i="2"/>
  <c r="I289" i="2" s="1"/>
  <c r="N201" i="2"/>
  <c r="F201" i="2"/>
  <c r="I201" i="2" s="1"/>
  <c r="N200" i="2"/>
  <c r="F200" i="2"/>
  <c r="I200" i="2" s="1"/>
  <c r="N199" i="2"/>
  <c r="F199" i="2"/>
  <c r="I199" i="2" s="1"/>
  <c r="N198" i="2"/>
  <c r="F198" i="2"/>
  <c r="I198" i="2" s="1"/>
  <c r="N196" i="2"/>
  <c r="F196" i="2"/>
  <c r="I196" i="2" s="1"/>
  <c r="N195" i="2"/>
  <c r="F195" i="2"/>
  <c r="I195" i="2" s="1"/>
  <c r="N194" i="2"/>
  <c r="F194" i="2"/>
  <c r="I194" i="2" s="1"/>
  <c r="N192" i="2"/>
  <c r="F192" i="2"/>
  <c r="I192" i="2" s="1"/>
  <c r="N191" i="2"/>
  <c r="F191" i="2"/>
  <c r="I191" i="2" s="1"/>
  <c r="N188" i="2"/>
  <c r="F188" i="2"/>
  <c r="I188" i="2" s="1"/>
  <c r="N187" i="2"/>
  <c r="F187" i="2"/>
  <c r="I187" i="2" s="1"/>
  <c r="D186" i="2"/>
  <c r="N186" i="2" s="1"/>
  <c r="D177" i="2"/>
  <c r="N177" i="2" s="1"/>
  <c r="D176" i="2"/>
  <c r="F176" i="2" s="1"/>
  <c r="I176" i="2" s="1"/>
  <c r="N164" i="2"/>
  <c r="F164" i="2"/>
  <c r="I164" i="2" s="1"/>
  <c r="N162" i="2"/>
  <c r="F162" i="2"/>
  <c r="I162" i="2" s="1"/>
  <c r="N161" i="2"/>
  <c r="F161" i="2"/>
  <c r="I161" i="2" s="1"/>
  <c r="N160" i="2"/>
  <c r="F160" i="2"/>
  <c r="I160" i="2" s="1"/>
  <c r="N159" i="2"/>
  <c r="F159" i="2"/>
  <c r="I159" i="2" s="1"/>
  <c r="N134" i="2"/>
  <c r="K134" i="2" s="1"/>
  <c r="F134" i="2"/>
  <c r="I134" i="2" s="1"/>
  <c r="N120" i="2"/>
  <c r="N119" i="2"/>
  <c r="N118" i="2"/>
  <c r="N116" i="2"/>
  <c r="N115" i="2"/>
  <c r="N114" i="2"/>
  <c r="N113" i="2"/>
  <c r="N111" i="2"/>
  <c r="N101" i="2"/>
  <c r="M101" i="2"/>
  <c r="F101" i="2"/>
  <c r="I101" i="2" s="1"/>
  <c r="N100" i="2"/>
  <c r="M100" i="2"/>
  <c r="F100" i="2"/>
  <c r="I100" i="2" s="1"/>
  <c r="N98" i="2"/>
  <c r="M98" i="2"/>
  <c r="F98" i="2"/>
  <c r="I98" i="2" s="1"/>
  <c r="N90" i="2"/>
  <c r="M90" i="2"/>
  <c r="F90" i="2"/>
  <c r="I90" i="2" s="1"/>
  <c r="M84" i="2"/>
  <c r="E84" i="2"/>
  <c r="M82" i="2"/>
  <c r="D82" i="2"/>
  <c r="F82" i="2" s="1"/>
  <c r="I82" i="2" s="1"/>
  <c r="M75" i="2"/>
  <c r="M73" i="2"/>
  <c r="N73" i="2"/>
  <c r="M68" i="2"/>
  <c r="D68" i="2"/>
  <c r="F68" i="2" s="1"/>
  <c r="I68" i="2" s="1"/>
  <c r="M67" i="2"/>
  <c r="D67" i="2"/>
  <c r="N67" i="2" s="1"/>
  <c r="M65" i="2"/>
  <c r="D65" i="2"/>
  <c r="N65" i="2" s="1"/>
  <c r="N63" i="2"/>
  <c r="M63" i="2"/>
  <c r="F63" i="2"/>
  <c r="I63" i="2" s="1"/>
  <c r="N62" i="2"/>
  <c r="M62" i="2"/>
  <c r="F62" i="2"/>
  <c r="I62" i="2" s="1"/>
  <c r="N61" i="2"/>
  <c r="M61" i="2"/>
  <c r="F61" i="2"/>
  <c r="I61" i="2" s="1"/>
  <c r="M60" i="2"/>
  <c r="D60" i="2"/>
  <c r="F60" i="2" s="1"/>
  <c r="I60" i="2" s="1"/>
  <c r="M58" i="2"/>
  <c r="D58" i="2"/>
  <c r="M57" i="2"/>
  <c r="D57" i="2"/>
  <c r="N57" i="2" s="1"/>
  <c r="M56" i="2"/>
  <c r="D56" i="2"/>
  <c r="F256" i="2" l="1"/>
  <c r="I254" i="2"/>
  <c r="O254" i="2" s="1"/>
  <c r="P254" i="2" s="1"/>
  <c r="F260" i="2"/>
  <c r="F263" i="2" s="1"/>
  <c r="O79" i="2"/>
  <c r="P79" i="2" s="1"/>
  <c r="O100" i="2"/>
  <c r="P100" i="2" s="1"/>
  <c r="O230" i="2"/>
  <c r="O76" i="2"/>
  <c r="P76" i="2" s="1"/>
  <c r="O271" i="2"/>
  <c r="P271" i="2" s="1"/>
  <c r="D80" i="2"/>
  <c r="D81" i="2"/>
  <c r="F81" i="2" s="1"/>
  <c r="I81" i="2" s="1"/>
  <c r="F56" i="2"/>
  <c r="I56" i="2" s="1"/>
  <c r="D394" i="2"/>
  <c r="F394" i="2" s="1"/>
  <c r="I394" i="2" s="1"/>
  <c r="N58" i="2"/>
  <c r="K58" i="2" s="1"/>
  <c r="L58" i="2" s="1"/>
  <c r="D395" i="2"/>
  <c r="N395" i="2" s="1"/>
  <c r="K62" i="2"/>
  <c r="L62" i="2" s="1"/>
  <c r="O63" i="2"/>
  <c r="P63" i="2" s="1"/>
  <c r="O286" i="2"/>
  <c r="P286" i="2" s="1"/>
  <c r="O196" i="2"/>
  <c r="P196" i="2" s="1"/>
  <c r="K191" i="2"/>
  <c r="L191" i="2" s="1"/>
  <c r="K200" i="2"/>
  <c r="L200" i="2" s="1"/>
  <c r="O353" i="2"/>
  <c r="K90" i="2"/>
  <c r="L90" i="2" s="1"/>
  <c r="O212" i="2"/>
  <c r="P212" i="2" s="1"/>
  <c r="O214" i="2"/>
  <c r="P214" i="2" s="1"/>
  <c r="O231" i="2"/>
  <c r="P231" i="2" s="1"/>
  <c r="K308" i="2"/>
  <c r="L308" i="2" s="1"/>
  <c r="K311" i="2"/>
  <c r="L311" i="2" s="1"/>
  <c r="F77" i="2"/>
  <c r="N78" i="2"/>
  <c r="F78" i="2"/>
  <c r="I78" i="2" s="1"/>
  <c r="K204" i="2"/>
  <c r="L204" i="2" s="1"/>
  <c r="O211" i="2"/>
  <c r="P211" i="2" s="1"/>
  <c r="O303" i="2"/>
  <c r="P303" i="2" s="1"/>
  <c r="F261" i="2"/>
  <c r="O284" i="2"/>
  <c r="P284" i="2" s="1"/>
  <c r="O298" i="2"/>
  <c r="P298" i="2" s="1"/>
  <c r="K318" i="2"/>
  <c r="L318" i="2" s="1"/>
  <c r="O194" i="2"/>
  <c r="P194" i="2" s="1"/>
  <c r="K63" i="2"/>
  <c r="L63" i="2" s="1"/>
  <c r="O90" i="2"/>
  <c r="K289" i="2"/>
  <c r="L289" i="2" s="1"/>
  <c r="O219" i="2"/>
  <c r="P219" i="2" s="1"/>
  <c r="K312" i="2"/>
  <c r="L312" i="2" s="1"/>
  <c r="O279" i="2"/>
  <c r="P279" i="2" s="1"/>
  <c r="O285" i="2"/>
  <c r="P285" i="2" s="1"/>
  <c r="O287" i="2"/>
  <c r="P287" i="2" s="1"/>
  <c r="O295" i="2"/>
  <c r="O297" i="2"/>
  <c r="P297" i="2" s="1"/>
  <c r="K309" i="2"/>
  <c r="L309" i="2" s="1"/>
  <c r="K319" i="2"/>
  <c r="L319" i="2" s="1"/>
  <c r="O217" i="2"/>
  <c r="P217" i="2" s="1"/>
  <c r="O62" i="2"/>
  <c r="P62" i="2" s="1"/>
  <c r="O134" i="2"/>
  <c r="P134" i="2" s="1"/>
  <c r="K164" i="2"/>
  <c r="L164" i="2" s="1"/>
  <c r="K198" i="2"/>
  <c r="L198" i="2" s="1"/>
  <c r="O220" i="2"/>
  <c r="P220" i="2" s="1"/>
  <c r="O276" i="2"/>
  <c r="P276" i="2" s="1"/>
  <c r="O192" i="2"/>
  <c r="P192" i="2" s="1"/>
  <c r="K196" i="2"/>
  <c r="L196" i="2" s="1"/>
  <c r="K199" i="2"/>
  <c r="L199" i="2" s="1"/>
  <c r="K203" i="2"/>
  <c r="L203" i="2" s="1"/>
  <c r="F262" i="2"/>
  <c r="O199" i="2"/>
  <c r="P199" i="2" s="1"/>
  <c r="O201" i="2"/>
  <c r="P201" i="2" s="1"/>
  <c r="O300" i="2"/>
  <c r="P300" i="2" s="1"/>
  <c r="O281" i="2"/>
  <c r="P281" i="2" s="1"/>
  <c r="F186" i="2"/>
  <c r="O275" i="2"/>
  <c r="P275" i="2" s="1"/>
  <c r="O311" i="2"/>
  <c r="P311" i="2" s="1"/>
  <c r="K317" i="2"/>
  <c r="L317" i="2" s="1"/>
  <c r="O319" i="2"/>
  <c r="P319" i="2" s="1"/>
  <c r="O233" i="2"/>
  <c r="P233" i="2" s="1"/>
  <c r="K194" i="2"/>
  <c r="L194" i="2" s="1"/>
  <c r="O308" i="2"/>
  <c r="F393" i="2"/>
  <c r="O209" i="2"/>
  <c r="F257" i="2"/>
  <c r="O282" i="2"/>
  <c r="P282" i="2" s="1"/>
  <c r="F388" i="2"/>
  <c r="K61" i="2"/>
  <c r="L61" i="2" s="1"/>
  <c r="O225" i="2"/>
  <c r="P225" i="2" s="1"/>
  <c r="O299" i="2"/>
  <c r="P299" i="2" s="1"/>
  <c r="K195" i="2"/>
  <c r="L195" i="2" s="1"/>
  <c r="O274" i="2"/>
  <c r="P274" i="2" s="1"/>
  <c r="K310" i="2"/>
  <c r="L310" i="2" s="1"/>
  <c r="O312" i="2"/>
  <c r="P312" i="2" s="1"/>
  <c r="O318" i="2"/>
  <c r="P318" i="2" s="1"/>
  <c r="O390" i="2"/>
  <c r="P390" i="2" s="1"/>
  <c r="O391" i="2"/>
  <c r="P391" i="2" s="1"/>
  <c r="O296" i="2"/>
  <c r="P296" i="2" s="1"/>
  <c r="O301" i="2"/>
  <c r="P301" i="2" s="1"/>
  <c r="O309" i="2"/>
  <c r="O310" i="2"/>
  <c r="P310" i="2" s="1"/>
  <c r="O317" i="2"/>
  <c r="O280" i="2"/>
  <c r="P280" i="2" s="1"/>
  <c r="O283" i="2"/>
  <c r="P283" i="2" s="1"/>
  <c r="O288" i="2"/>
  <c r="P288" i="2" s="1"/>
  <c r="O272" i="2"/>
  <c r="P272" i="2" s="1"/>
  <c r="O277" i="2"/>
  <c r="P277" i="2" s="1"/>
  <c r="F255" i="2"/>
  <c r="O259" i="2"/>
  <c r="P259" i="2" s="1"/>
  <c r="O234" i="2"/>
  <c r="P234" i="2" s="1"/>
  <c r="O213" i="2"/>
  <c r="P213" i="2" s="1"/>
  <c r="O218" i="2"/>
  <c r="P218" i="2" s="1"/>
  <c r="O210" i="2"/>
  <c r="P210" i="2" s="1"/>
  <c r="O215" i="2"/>
  <c r="P215" i="2" s="1"/>
  <c r="O198" i="2"/>
  <c r="P198" i="2" s="1"/>
  <c r="O204" i="2"/>
  <c r="P204" i="2" s="1"/>
  <c r="O191" i="2"/>
  <c r="P191" i="2" s="1"/>
  <c r="O195" i="2"/>
  <c r="P195" i="2" s="1"/>
  <c r="O200" i="2"/>
  <c r="P200" i="2" s="1"/>
  <c r="O289" i="2"/>
  <c r="P289" i="2" s="1"/>
  <c r="O290" i="2"/>
  <c r="P290" i="2" s="1"/>
  <c r="K201" i="2"/>
  <c r="L201" i="2" s="1"/>
  <c r="O203" i="2"/>
  <c r="P203" i="2" s="1"/>
  <c r="K192" i="2"/>
  <c r="L192" i="2" s="1"/>
  <c r="K100" i="2"/>
  <c r="L100" i="2" s="1"/>
  <c r="F67" i="2"/>
  <c r="I67" i="2" s="1"/>
  <c r="O159" i="2"/>
  <c r="P159" i="2" s="1"/>
  <c r="O114" i="2"/>
  <c r="P114" i="2" s="1"/>
  <c r="O161" i="2"/>
  <c r="P161" i="2" s="1"/>
  <c r="O111" i="2"/>
  <c r="O162" i="2"/>
  <c r="P162" i="2" s="1"/>
  <c r="O188" i="2"/>
  <c r="P188" i="2" s="1"/>
  <c r="O118" i="2"/>
  <c r="P118" i="2" s="1"/>
  <c r="O187" i="2"/>
  <c r="P187" i="2" s="1"/>
  <c r="K186" i="2"/>
  <c r="L186" i="2" s="1"/>
  <c r="K177" i="2"/>
  <c r="L177" i="2" s="1"/>
  <c r="F177" i="2"/>
  <c r="I177" i="2" s="1"/>
  <c r="N176" i="2"/>
  <c r="O164" i="2"/>
  <c r="P164" i="2" s="1"/>
  <c r="O160" i="2"/>
  <c r="P160" i="2" s="1"/>
  <c r="D84" i="2"/>
  <c r="N84" i="2" s="1"/>
  <c r="D83" i="2"/>
  <c r="F73" i="2"/>
  <c r="O116" i="2"/>
  <c r="P116" i="2" s="1"/>
  <c r="N60" i="2"/>
  <c r="K60" i="2" s="1"/>
  <c r="L60" i="2" s="1"/>
  <c r="N82" i="2"/>
  <c r="K82" i="2" s="1"/>
  <c r="L82" i="2" s="1"/>
  <c r="O98" i="2"/>
  <c r="P98" i="2" s="1"/>
  <c r="O119" i="2"/>
  <c r="P119" i="2" s="1"/>
  <c r="F57" i="2"/>
  <c r="I57" i="2" s="1"/>
  <c r="K67" i="2"/>
  <c r="L67" i="2" s="1"/>
  <c r="K101" i="2"/>
  <c r="L101" i="2" s="1"/>
  <c r="O113" i="2"/>
  <c r="P113" i="2" s="1"/>
  <c r="O115" i="2"/>
  <c r="P115" i="2" s="1"/>
  <c r="O120" i="2"/>
  <c r="P120" i="2" s="1"/>
  <c r="O101" i="2"/>
  <c r="P101" i="2" s="1"/>
  <c r="K98" i="2"/>
  <c r="L98" i="2" s="1"/>
  <c r="K65" i="2"/>
  <c r="L65" i="2" s="1"/>
  <c r="K57" i="2"/>
  <c r="L57" i="2" s="1"/>
  <c r="K73" i="2"/>
  <c r="L73" i="2" s="1"/>
  <c r="F65" i="2"/>
  <c r="I65" i="2" s="1"/>
  <c r="F58" i="2"/>
  <c r="I58" i="2" s="1"/>
  <c r="O61" i="2"/>
  <c r="P61" i="2" s="1"/>
  <c r="N56" i="2"/>
  <c r="N68" i="2"/>
  <c r="I388" i="2" l="1"/>
  <c r="O388" i="2" s="1"/>
  <c r="P388" i="2" s="1"/>
  <c r="I393" i="2"/>
  <c r="O393" i="2" s="1"/>
  <c r="P393" i="2" s="1"/>
  <c r="I186" i="2"/>
  <c r="O186" i="2" s="1"/>
  <c r="P186" i="2" s="1"/>
  <c r="I73" i="2"/>
  <c r="O73" i="2" s="1"/>
  <c r="P73" i="2" s="1"/>
  <c r="O67" i="2"/>
  <c r="P67" i="2" s="1"/>
  <c r="O57" i="2"/>
  <c r="P57" i="2" s="1"/>
  <c r="P295" i="2"/>
  <c r="O292" i="2"/>
  <c r="K21" i="3" s="1"/>
  <c r="P230" i="2"/>
  <c r="P209" i="2"/>
  <c r="O206" i="2"/>
  <c r="K19" i="3" s="1"/>
  <c r="O24" i="2"/>
  <c r="O314" i="2"/>
  <c r="K23" i="3" s="1"/>
  <c r="O305" i="2"/>
  <c r="P90" i="2"/>
  <c r="P353" i="2"/>
  <c r="D397" i="2"/>
  <c r="F397" i="2" s="1"/>
  <c r="I397" i="2" s="1"/>
  <c r="F80" i="2"/>
  <c r="F395" i="2"/>
  <c r="F84" i="2"/>
  <c r="I84" i="2" s="1"/>
  <c r="N394" i="2"/>
  <c r="O394" i="2" s="1"/>
  <c r="P394" i="2" s="1"/>
  <c r="N81" i="2"/>
  <c r="K81" i="2" s="1"/>
  <c r="L81" i="2" s="1"/>
  <c r="O78" i="2"/>
  <c r="P78" i="2" s="1"/>
  <c r="K78" i="2"/>
  <c r="L78" i="2" s="1"/>
  <c r="P308" i="2"/>
  <c r="K22" i="3"/>
  <c r="P111" i="2"/>
  <c r="P309" i="2"/>
  <c r="P317" i="2"/>
  <c r="F258" i="2"/>
  <c r="O60" i="2"/>
  <c r="P60" i="2" s="1"/>
  <c r="O82" i="2"/>
  <c r="P82" i="2" s="1"/>
  <c r="O177" i="2"/>
  <c r="P177" i="2" s="1"/>
  <c r="O176" i="2"/>
  <c r="K176" i="2"/>
  <c r="L176" i="2" s="1"/>
  <c r="F83" i="2"/>
  <c r="D74" i="2"/>
  <c r="D75" i="2"/>
  <c r="K56" i="2"/>
  <c r="L56" i="2" s="1"/>
  <c r="O56" i="2"/>
  <c r="O58" i="2"/>
  <c r="P58" i="2" s="1"/>
  <c r="K84" i="2"/>
  <c r="L84" i="2" s="1"/>
  <c r="O65" i="2"/>
  <c r="P65" i="2" s="1"/>
  <c r="O68" i="2"/>
  <c r="P68" i="2" s="1"/>
  <c r="K68" i="2"/>
  <c r="L68" i="2" s="1"/>
  <c r="K13" i="3" l="1"/>
  <c r="P399" i="2"/>
  <c r="I395" i="2"/>
  <c r="O395" i="2" s="1"/>
  <c r="P395" i="2" s="1"/>
  <c r="O84" i="2"/>
  <c r="P84" i="2" s="1"/>
  <c r="O53" i="2"/>
  <c r="K14" i="3" s="1"/>
  <c r="N397" i="2"/>
  <c r="O397" i="2" s="1"/>
  <c r="P397" i="2" s="1"/>
  <c r="O81" i="2"/>
  <c r="P81" i="2" s="1"/>
  <c r="P176" i="2"/>
  <c r="N75" i="2"/>
  <c r="K75" i="2" s="1"/>
  <c r="L75" i="2" s="1"/>
  <c r="F75" i="2"/>
  <c r="I75" i="2" s="1"/>
  <c r="F74" i="2"/>
  <c r="P56" i="2"/>
  <c r="O385" i="2" l="1"/>
  <c r="K27" i="3" s="1"/>
  <c r="O75" i="2"/>
  <c r="O70" i="2" l="1"/>
  <c r="K15" i="3" s="1"/>
  <c r="P75" i="2"/>
  <c r="N383" i="2" l="1"/>
  <c r="F383" i="2"/>
  <c r="I383" i="2" s="1"/>
  <c r="N381" i="2"/>
  <c r="F381" i="2"/>
  <c r="I381" i="2" s="1"/>
  <c r="N379" i="2"/>
  <c r="F379" i="2"/>
  <c r="I379" i="2" s="1"/>
  <c r="N377" i="2"/>
  <c r="F377" i="2"/>
  <c r="I377" i="2" s="1"/>
  <c r="N376" i="2"/>
  <c r="F376" i="2"/>
  <c r="I376" i="2" s="1"/>
  <c r="N375" i="2"/>
  <c r="F375" i="2"/>
  <c r="I375" i="2" s="1"/>
  <c r="N374" i="2"/>
  <c r="F374" i="2"/>
  <c r="I374" i="2" s="1"/>
  <c r="N372" i="2"/>
  <c r="F372" i="2"/>
  <c r="I372" i="2" s="1"/>
  <c r="N371" i="2"/>
  <c r="F371" i="2"/>
  <c r="I371" i="2" s="1"/>
  <c r="N370" i="2"/>
  <c r="F370" i="2"/>
  <c r="I370" i="2" s="1"/>
  <c r="N368" i="2"/>
  <c r="F368" i="2"/>
  <c r="I368" i="2" s="1"/>
  <c r="N367" i="2"/>
  <c r="F367" i="2"/>
  <c r="I367" i="2" s="1"/>
  <c r="N366" i="2"/>
  <c r="F366" i="2"/>
  <c r="I366" i="2" s="1"/>
  <c r="N365" i="2"/>
  <c r="F365" i="2"/>
  <c r="I365" i="2" s="1"/>
  <c r="N360" i="2"/>
  <c r="F360" i="2"/>
  <c r="I360" i="2" s="1"/>
  <c r="N358" i="2"/>
  <c r="F358" i="2"/>
  <c r="I358" i="2" s="1"/>
  <c r="N357" i="2"/>
  <c r="F357" i="2"/>
  <c r="I357" i="2" s="1"/>
  <c r="N356" i="2"/>
  <c r="F356" i="2"/>
  <c r="I356" i="2" s="1"/>
  <c r="N355" i="2"/>
  <c r="F355" i="2"/>
  <c r="I355" i="2" s="1"/>
  <c r="N348" i="2"/>
  <c r="F348" i="2"/>
  <c r="I348" i="2" s="1"/>
  <c r="N346" i="2"/>
  <c r="F346" i="2"/>
  <c r="I346" i="2" s="1"/>
  <c r="N344" i="2"/>
  <c r="F344" i="2"/>
  <c r="I344" i="2" s="1"/>
  <c r="N342" i="2"/>
  <c r="F342" i="2"/>
  <c r="I342" i="2" s="1"/>
  <c r="N341" i="2"/>
  <c r="F341" i="2"/>
  <c r="I341" i="2" s="1"/>
  <c r="N340" i="2"/>
  <c r="F340" i="2"/>
  <c r="I340" i="2" s="1"/>
  <c r="N339" i="2"/>
  <c r="F339" i="2"/>
  <c r="I339" i="2" s="1"/>
  <c r="N338" i="2"/>
  <c r="F338" i="2"/>
  <c r="I338" i="2" s="1"/>
  <c r="N337" i="2"/>
  <c r="F337" i="2"/>
  <c r="I337" i="2" s="1"/>
  <c r="N335" i="2"/>
  <c r="F335" i="2"/>
  <c r="I335" i="2" s="1"/>
  <c r="N334" i="2"/>
  <c r="F334" i="2"/>
  <c r="I334" i="2" s="1"/>
  <c r="N333" i="2"/>
  <c r="F333" i="2"/>
  <c r="I333" i="2" s="1"/>
  <c r="N332" i="2"/>
  <c r="F332" i="2"/>
  <c r="I332" i="2" s="1"/>
  <c r="N331" i="2"/>
  <c r="F331" i="2"/>
  <c r="I331" i="2" s="1"/>
  <c r="N329" i="2"/>
  <c r="F329" i="2"/>
  <c r="I329" i="2" s="1"/>
  <c r="N328" i="2"/>
  <c r="F328" i="2"/>
  <c r="I328" i="2" s="1"/>
  <c r="N327" i="2"/>
  <c r="F327" i="2"/>
  <c r="I327" i="2" s="1"/>
  <c r="N326" i="2"/>
  <c r="F326" i="2"/>
  <c r="I326" i="2" s="1"/>
  <c r="N325" i="2"/>
  <c r="F325" i="2"/>
  <c r="I325" i="2" s="1"/>
  <c r="O372" i="2" l="1"/>
  <c r="P372" i="2" s="1"/>
  <c r="O374" i="2"/>
  <c r="P374" i="2" s="1"/>
  <c r="O366" i="2"/>
  <c r="P366" i="2" s="1"/>
  <c r="O357" i="2"/>
  <c r="P357" i="2" s="1"/>
  <c r="O379" i="2"/>
  <c r="P379" i="2" s="1"/>
  <c r="O326" i="2"/>
  <c r="P326" i="2" s="1"/>
  <c r="O331" i="2"/>
  <c r="P331" i="2" s="1"/>
  <c r="O334" i="2"/>
  <c r="P334" i="2" s="1"/>
  <c r="K346" i="2"/>
  <c r="L346" i="2" s="1"/>
  <c r="O332" i="2"/>
  <c r="P332" i="2" s="1"/>
  <c r="K334" i="2"/>
  <c r="L334" i="2" s="1"/>
  <c r="K340" i="2"/>
  <c r="L340" i="2" s="1"/>
  <c r="K348" i="2"/>
  <c r="L348" i="2" s="1"/>
  <c r="K341" i="2"/>
  <c r="L341" i="2" s="1"/>
  <c r="K326" i="2"/>
  <c r="L326" i="2" s="1"/>
  <c r="O342" i="2"/>
  <c r="P342" i="2" s="1"/>
  <c r="K342" i="2"/>
  <c r="L342" i="2" s="1"/>
  <c r="O376" i="2"/>
  <c r="P376" i="2" s="1"/>
  <c r="K328" i="2"/>
  <c r="L328" i="2" s="1"/>
  <c r="O348" i="2"/>
  <c r="P348" i="2" s="1"/>
  <c r="K332" i="2"/>
  <c r="L332" i="2" s="1"/>
  <c r="K333" i="2"/>
  <c r="L333" i="2" s="1"/>
  <c r="O333" i="2"/>
  <c r="P333" i="2" s="1"/>
  <c r="O339" i="2"/>
  <c r="P339" i="2" s="1"/>
  <c r="O356" i="2"/>
  <c r="P356" i="2" s="1"/>
  <c r="O371" i="2"/>
  <c r="P371" i="2" s="1"/>
  <c r="O368" i="2"/>
  <c r="P368" i="2" s="1"/>
  <c r="O328" i="2"/>
  <c r="P328" i="2" s="1"/>
  <c r="O344" i="2"/>
  <c r="P344" i="2" s="1"/>
  <c r="O338" i="2"/>
  <c r="P338" i="2" s="1"/>
  <c r="O327" i="2"/>
  <c r="P327" i="2" s="1"/>
  <c r="O329" i="2"/>
  <c r="P329" i="2" s="1"/>
  <c r="O337" i="2"/>
  <c r="P337" i="2" s="1"/>
  <c r="K339" i="2"/>
  <c r="L339" i="2" s="1"/>
  <c r="K344" i="2"/>
  <c r="L344" i="2" s="1"/>
  <c r="O340" i="2"/>
  <c r="P340" i="2" s="1"/>
  <c r="O367" i="2"/>
  <c r="P367" i="2" s="1"/>
  <c r="O383" i="2"/>
  <c r="P383" i="2" s="1"/>
  <c r="K325" i="2"/>
  <c r="L325" i="2" s="1"/>
  <c r="O335" i="2"/>
  <c r="P335" i="2" s="1"/>
  <c r="K338" i="2"/>
  <c r="L338" i="2" s="1"/>
  <c r="O375" i="2"/>
  <c r="P375" i="2" s="1"/>
  <c r="K331" i="2"/>
  <c r="L331" i="2" s="1"/>
  <c r="O355" i="2"/>
  <c r="O370" i="2"/>
  <c r="P370" i="2" s="1"/>
  <c r="O377" i="2"/>
  <c r="P377" i="2" s="1"/>
  <c r="O360" i="2"/>
  <c r="P360" i="2" s="1"/>
  <c r="O346" i="2"/>
  <c r="P346" i="2" s="1"/>
  <c r="K327" i="2"/>
  <c r="L327" i="2" s="1"/>
  <c r="K335" i="2"/>
  <c r="L335" i="2" s="1"/>
  <c r="O325" i="2"/>
  <c r="K329" i="2"/>
  <c r="L329" i="2" s="1"/>
  <c r="K337" i="2"/>
  <c r="L337" i="2" s="1"/>
  <c r="O341" i="2"/>
  <c r="P341" i="2" s="1"/>
  <c r="O358" i="2"/>
  <c r="P358" i="2" s="1"/>
  <c r="O365" i="2"/>
  <c r="O381" i="2"/>
  <c r="P381" i="2" s="1"/>
  <c r="O362" i="2" l="1"/>
  <c r="K26" i="3" s="1"/>
  <c r="O350" i="2"/>
  <c r="K25" i="3" s="1"/>
  <c r="O321" i="2"/>
  <c r="K24" i="3" s="1"/>
  <c r="P355" i="2"/>
  <c r="P365" i="2"/>
  <c r="P325" i="2"/>
  <c r="D97" i="2" l="1"/>
  <c r="N97" i="2" s="1"/>
  <c r="N181" i="2"/>
  <c r="F181" i="2"/>
  <c r="I181" i="2" s="1"/>
  <c r="D94" i="2"/>
  <c r="F94" i="2" s="1"/>
  <c r="I94" i="2" s="1"/>
  <c r="N143" i="2"/>
  <c r="F143" i="2"/>
  <c r="I143" i="2" s="1"/>
  <c r="D236" i="2"/>
  <c r="N236" i="2" s="1"/>
  <c r="N241" i="2"/>
  <c r="M241" i="2"/>
  <c r="F241" i="2"/>
  <c r="M236" i="2"/>
  <c r="N182" i="2"/>
  <c r="F182" i="2"/>
  <c r="I182" i="2" s="1"/>
  <c r="N183" i="2"/>
  <c r="F183" i="2"/>
  <c r="I183" i="2" s="1"/>
  <c r="N184" i="2"/>
  <c r="F184" i="2"/>
  <c r="I184" i="2" s="1"/>
  <c r="N169" i="2"/>
  <c r="F169" i="2"/>
  <c r="I169" i="2" s="1"/>
  <c r="D155" i="2"/>
  <c r="D153" i="2"/>
  <c r="F153" i="2" s="1"/>
  <c r="N152" i="2"/>
  <c r="F152" i="2"/>
  <c r="I152" i="2" s="1"/>
  <c r="D141" i="2"/>
  <c r="D140" i="2"/>
  <c r="D130" i="2"/>
  <c r="N130" i="2" s="1"/>
  <c r="K130" i="2" s="1"/>
  <c r="L130" i="2" s="1"/>
  <c r="D131" i="2"/>
  <c r="D127" i="2"/>
  <c r="D132" i="2"/>
  <c r="K189" i="2"/>
  <c r="L189" i="2" s="1"/>
  <c r="D125" i="2"/>
  <c r="D124" i="2"/>
  <c r="D123" i="2"/>
  <c r="D122" i="2"/>
  <c r="M94" i="2"/>
  <c r="N95" i="2"/>
  <c r="M95" i="2"/>
  <c r="F95" i="2"/>
  <c r="I95" i="2" s="1"/>
  <c r="N96" i="2"/>
  <c r="M96" i="2"/>
  <c r="L135" i="2" s="1"/>
  <c r="F96" i="2"/>
  <c r="I96" i="2" s="1"/>
  <c r="M97" i="2"/>
  <c r="F97" i="2"/>
  <c r="I97" i="2" s="1"/>
  <c r="F244" i="2" l="1"/>
  <c r="I241" i="2"/>
  <c r="O241" i="2" s="1"/>
  <c r="P241" i="2" s="1"/>
  <c r="K143" i="2"/>
  <c r="L143" i="2" s="1"/>
  <c r="N94" i="2"/>
  <c r="O94" i="2" s="1"/>
  <c r="P94" i="2" s="1"/>
  <c r="K290" i="2"/>
  <c r="L290" i="2" s="1"/>
  <c r="K282" i="2"/>
  <c r="L282" i="2" s="1"/>
  <c r="K162" i="2"/>
  <c r="L162" i="2" s="1"/>
  <c r="K161" i="2"/>
  <c r="L161" i="2" s="1"/>
  <c r="K160" i="2"/>
  <c r="L160" i="2" s="1"/>
  <c r="K181" i="2"/>
  <c r="L181" i="2" s="1"/>
  <c r="K188" i="2"/>
  <c r="L188" i="2" s="1"/>
  <c r="K187" i="2"/>
  <c r="L187" i="2" s="1"/>
  <c r="K120" i="2"/>
  <c r="L120" i="2" s="1"/>
  <c r="K116" i="2"/>
  <c r="L116" i="2" s="1"/>
  <c r="L134" i="2"/>
  <c r="K118" i="2"/>
  <c r="L118" i="2" s="1"/>
  <c r="K114" i="2"/>
  <c r="L114" i="2" s="1"/>
  <c r="K111" i="2"/>
  <c r="K115" i="2"/>
  <c r="L115" i="2" s="1"/>
  <c r="K119" i="2"/>
  <c r="L119" i="2" s="1"/>
  <c r="K113" i="2"/>
  <c r="L113" i="2" s="1"/>
  <c r="O181" i="2"/>
  <c r="P181" i="2" s="1"/>
  <c r="O143" i="2"/>
  <c r="P143" i="2" s="1"/>
  <c r="F242" i="2"/>
  <c r="F243" i="2" s="1"/>
  <c r="F245" i="2"/>
  <c r="F236" i="2"/>
  <c r="K241" i="2"/>
  <c r="L241" i="2" s="1"/>
  <c r="K184" i="2"/>
  <c r="L184" i="2" s="1"/>
  <c r="K236" i="2"/>
  <c r="L236" i="2" s="1"/>
  <c r="K183" i="2"/>
  <c r="L183" i="2" s="1"/>
  <c r="O184" i="2"/>
  <c r="P184" i="2" s="1"/>
  <c r="O182" i="2"/>
  <c r="P182" i="2" s="1"/>
  <c r="O183" i="2"/>
  <c r="P183" i="2" s="1"/>
  <c r="K182" i="2"/>
  <c r="L182" i="2" s="1"/>
  <c r="O169" i="2"/>
  <c r="P169" i="2" s="1"/>
  <c r="K169" i="2"/>
  <c r="L169" i="2" s="1"/>
  <c r="K152" i="2"/>
  <c r="L152" i="2" s="1"/>
  <c r="D154" i="2"/>
  <c r="O152" i="2"/>
  <c r="P152" i="2" s="1"/>
  <c r="F130" i="2"/>
  <c r="I130" i="2" s="1"/>
  <c r="K97" i="2"/>
  <c r="L97" i="2" s="1"/>
  <c r="K95" i="2"/>
  <c r="L95" i="2" s="1"/>
  <c r="O96" i="2"/>
  <c r="P96" i="2" s="1"/>
  <c r="K96" i="2"/>
  <c r="L96" i="2" s="1"/>
  <c r="O95" i="2"/>
  <c r="P95" i="2" s="1"/>
  <c r="O97" i="2"/>
  <c r="P97" i="2" s="1"/>
  <c r="A12" i="3"/>
  <c r="A13" i="3" s="1"/>
  <c r="F246" i="2"/>
  <c r="I246" i="2" s="1"/>
  <c r="N246" i="2"/>
  <c r="M246" i="2"/>
  <c r="F252" i="2"/>
  <c r="I252" i="2" s="1"/>
  <c r="F239" i="2" l="1"/>
  <c r="I236" i="2"/>
  <c r="O236" i="2" s="1"/>
  <c r="O130" i="2"/>
  <c r="P130" i="2" s="1"/>
  <c r="K94" i="2"/>
  <c r="L94" i="2" s="1"/>
  <c r="K222" i="2"/>
  <c r="L222" i="2" s="1"/>
  <c r="K223" i="2"/>
  <c r="L223" i="2" s="1"/>
  <c r="K159" i="2"/>
  <c r="L159" i="2" s="1"/>
  <c r="K225" i="2"/>
  <c r="L225" i="2" s="1"/>
  <c r="K217" i="2"/>
  <c r="L217" i="2" s="1"/>
  <c r="K210" i="2"/>
  <c r="L210" i="2" s="1"/>
  <c r="K212" i="2"/>
  <c r="L212" i="2" s="1"/>
  <c r="K219" i="2"/>
  <c r="L219" i="2" s="1"/>
  <c r="K218" i="2"/>
  <c r="L218" i="2" s="1"/>
  <c r="K213" i="2"/>
  <c r="L213" i="2" s="1"/>
  <c r="K211" i="2"/>
  <c r="L211" i="2" s="1"/>
  <c r="K215" i="2"/>
  <c r="L215" i="2" s="1"/>
  <c r="K209" i="2"/>
  <c r="L209" i="2" s="1"/>
  <c r="K214" i="2"/>
  <c r="L214" i="2" s="1"/>
  <c r="L111" i="2"/>
  <c r="F237" i="2"/>
  <c r="F238" i="2" s="1"/>
  <c r="F240" i="2"/>
  <c r="F154" i="2"/>
  <c r="F247" i="2"/>
  <c r="F250" i="2"/>
  <c r="F249" i="2"/>
  <c r="K246" i="2"/>
  <c r="L246" i="2" s="1"/>
  <c r="A14" i="3"/>
  <c r="O246" i="2"/>
  <c r="P246" i="2" s="1"/>
  <c r="K295" i="2" l="1"/>
  <c r="L295" i="2" s="1"/>
  <c r="K353" i="2"/>
  <c r="L353" i="2" s="1"/>
  <c r="K301" i="2"/>
  <c r="L301" i="2" s="1"/>
  <c r="K297" i="2"/>
  <c r="L297" i="2" s="1"/>
  <c r="K299" i="2"/>
  <c r="L299" i="2" s="1"/>
  <c r="K303" i="2"/>
  <c r="L303" i="2" s="1"/>
  <c r="K298" i="2"/>
  <c r="L298" i="2" s="1"/>
  <c r="K296" i="2"/>
  <c r="L296" i="2" s="1"/>
  <c r="K300" i="2"/>
  <c r="L300" i="2" s="1"/>
  <c r="K220" i="2"/>
  <c r="L220" i="2" s="1"/>
  <c r="P236" i="2"/>
  <c r="F248" i="2"/>
  <c r="A15" i="3"/>
  <c r="A16" i="3" s="1"/>
  <c r="A17" i="3" l="1"/>
  <c r="A18" i="3" s="1"/>
  <c r="A19" i="3" l="1"/>
  <c r="A20" i="3" l="1"/>
  <c r="A21" i="3" s="1"/>
  <c r="A22" i="3" s="1"/>
  <c r="A23" i="3" l="1"/>
  <c r="A24" i="3" l="1"/>
  <c r="A25" i="3" s="1"/>
  <c r="A26" i="3" s="1"/>
  <c r="A27" i="3" s="1"/>
  <c r="N170" i="2" l="1"/>
  <c r="F170" i="2"/>
  <c r="I170" i="2" s="1"/>
  <c r="N125" i="2"/>
  <c r="K125" i="2" s="1"/>
  <c r="L125" i="2" s="1"/>
  <c r="F125" i="2"/>
  <c r="I125" i="2" s="1"/>
  <c r="N124" i="2"/>
  <c r="K124" i="2" s="1"/>
  <c r="L124" i="2" s="1"/>
  <c r="F124" i="2"/>
  <c r="I124" i="2" s="1"/>
  <c r="N123" i="2"/>
  <c r="F123" i="2"/>
  <c r="I123" i="2" s="1"/>
  <c r="N122" i="2"/>
  <c r="F122" i="2"/>
  <c r="I122" i="2" s="1"/>
  <c r="N132" i="2"/>
  <c r="K132" i="2" s="1"/>
  <c r="L132" i="2" s="1"/>
  <c r="F132" i="2"/>
  <c r="I132" i="2" s="1"/>
  <c r="N131" i="2"/>
  <c r="K131" i="2" s="1"/>
  <c r="L131" i="2" s="1"/>
  <c r="F131" i="2"/>
  <c r="I131" i="2" s="1"/>
  <c r="N129" i="2"/>
  <c r="K129" i="2" s="1"/>
  <c r="F129" i="2"/>
  <c r="I129" i="2" s="1"/>
  <c r="N128" i="2"/>
  <c r="K128" i="2" s="1"/>
  <c r="F128" i="2"/>
  <c r="I128" i="2" s="1"/>
  <c r="N127" i="2"/>
  <c r="K127" i="2" s="1"/>
  <c r="F127" i="2"/>
  <c r="I127" i="2" s="1"/>
  <c r="N141" i="2"/>
  <c r="F141" i="2"/>
  <c r="I141" i="2" s="1"/>
  <c r="N140" i="2"/>
  <c r="K140" i="2" s="1"/>
  <c r="F140" i="2"/>
  <c r="I140" i="2" s="1"/>
  <c r="N139" i="2"/>
  <c r="K139" i="2" s="1"/>
  <c r="L139" i="2" s="1"/>
  <c r="F139" i="2"/>
  <c r="I139" i="2" s="1"/>
  <c r="N138" i="2"/>
  <c r="F138" i="2"/>
  <c r="I138" i="2" s="1"/>
  <c r="N137" i="2"/>
  <c r="K137" i="2" s="1"/>
  <c r="L137" i="2" s="1"/>
  <c r="F137" i="2"/>
  <c r="I137" i="2" s="1"/>
  <c r="K360" i="2" l="1"/>
  <c r="L360" i="2" s="1"/>
  <c r="K357" i="2"/>
  <c r="L357" i="2" s="1"/>
  <c r="K355" i="2"/>
  <c r="L355" i="2" s="1"/>
  <c r="K358" i="2"/>
  <c r="L358" i="2" s="1"/>
  <c r="K356" i="2"/>
  <c r="L356" i="2" s="1"/>
  <c r="K170" i="2"/>
  <c r="L170" i="2" s="1"/>
  <c r="O139" i="2"/>
  <c r="P139" i="2" s="1"/>
  <c r="O170" i="2"/>
  <c r="P170" i="2" s="1"/>
  <c r="K123" i="2"/>
  <c r="L123" i="2" s="1"/>
  <c r="O125" i="2"/>
  <c r="P125" i="2" s="1"/>
  <c r="L129" i="2"/>
  <c r="L140" i="2"/>
  <c r="K122" i="2"/>
  <c r="L122" i="2" s="1"/>
  <c r="O124" i="2"/>
  <c r="P124" i="2" s="1"/>
  <c r="O131" i="2"/>
  <c r="P131" i="2" s="1"/>
  <c r="O122" i="2"/>
  <c r="O123" i="2"/>
  <c r="P123" i="2" s="1"/>
  <c r="K141" i="2"/>
  <c r="L141" i="2" s="1"/>
  <c r="O129" i="2"/>
  <c r="P129" i="2" s="1"/>
  <c r="O140" i="2"/>
  <c r="P140" i="2" s="1"/>
  <c r="L127" i="2"/>
  <c r="L128" i="2"/>
  <c r="O132" i="2"/>
  <c r="P132" i="2" s="1"/>
  <c r="K138" i="2"/>
  <c r="L138" i="2" s="1"/>
  <c r="O127" i="2"/>
  <c r="P127" i="2" s="1"/>
  <c r="O128" i="2"/>
  <c r="P128" i="2" s="1"/>
  <c r="O141" i="2"/>
  <c r="P141" i="2" s="1"/>
  <c r="O137" i="2"/>
  <c r="P137" i="2" s="1"/>
  <c r="O138" i="2"/>
  <c r="P138" i="2" s="1"/>
  <c r="P122" i="2" l="1"/>
  <c r="C4" i="3"/>
  <c r="A7" i="2"/>
  <c r="D34" i="3" l="1"/>
  <c r="D33" i="3"/>
  <c r="D32" i="3"/>
  <c r="D31" i="3"/>
  <c r="M269" i="2" l="1"/>
  <c r="M268" i="2"/>
  <c r="M265" i="2"/>
  <c r="M252" i="2"/>
  <c r="K283" i="2" l="1"/>
  <c r="L283" i="2" s="1"/>
  <c r="K281" i="2"/>
  <c r="L281" i="2" s="1"/>
  <c r="K288" i="2"/>
  <c r="L288" i="2" s="1"/>
  <c r="K280" i="2"/>
  <c r="L280" i="2" s="1"/>
  <c r="K279" i="2"/>
  <c r="L279" i="2" s="1"/>
  <c r="K287" i="2"/>
  <c r="L287" i="2" s="1"/>
  <c r="K286" i="2"/>
  <c r="L286" i="2" s="1"/>
  <c r="K284" i="2"/>
  <c r="L284" i="2" s="1"/>
  <c r="K285" i="2"/>
  <c r="L285" i="2" s="1"/>
  <c r="K272" i="2"/>
  <c r="L272" i="2" s="1"/>
  <c r="K271" i="2"/>
  <c r="L271" i="2" s="1"/>
  <c r="K276" i="2"/>
  <c r="L276" i="2" s="1"/>
  <c r="K277" i="2"/>
  <c r="L277" i="2" s="1"/>
  <c r="K275" i="2"/>
  <c r="L275" i="2" s="1"/>
  <c r="K274" i="2"/>
  <c r="L274" i="2" s="1"/>
  <c r="K254" i="2"/>
  <c r="L254" i="2" s="1"/>
  <c r="K259" i="2"/>
  <c r="L259" i="2" s="1"/>
  <c r="K234" i="2"/>
  <c r="L234" i="2" s="1"/>
  <c r="K233" i="2"/>
  <c r="L233" i="2" s="1"/>
  <c r="K231" i="2"/>
  <c r="L231" i="2" s="1"/>
  <c r="K230" i="2"/>
  <c r="L230" i="2" s="1"/>
  <c r="K368" i="2"/>
  <c r="L368" i="2" s="1"/>
  <c r="K377" i="2"/>
  <c r="L377" i="2" s="1"/>
  <c r="K372" i="2"/>
  <c r="L372" i="2" s="1"/>
  <c r="K370" i="2"/>
  <c r="L370" i="2" s="1"/>
  <c r="K365" i="2"/>
  <c r="L365" i="2" s="1"/>
  <c r="K375" i="2"/>
  <c r="L375" i="2" s="1"/>
  <c r="K376" i="2"/>
  <c r="L376" i="2" s="1"/>
  <c r="K366" i="2"/>
  <c r="L366" i="2" s="1"/>
  <c r="K381" i="2"/>
  <c r="L381" i="2" s="1"/>
  <c r="K383" i="2"/>
  <c r="L383" i="2" s="1"/>
  <c r="K367" i="2"/>
  <c r="L367" i="2" s="1"/>
  <c r="K379" i="2"/>
  <c r="L379" i="2" s="1"/>
  <c r="K374" i="2"/>
  <c r="L374" i="2" s="1"/>
  <c r="K371" i="2"/>
  <c r="L371" i="2" s="1"/>
  <c r="M106" i="2"/>
  <c r="M93" i="2"/>
  <c r="M92" i="2"/>
  <c r="A8" i="2"/>
  <c r="A9" i="2"/>
  <c r="N269" i="2"/>
  <c r="N265" i="2"/>
  <c r="N252" i="2"/>
  <c r="N185" i="2"/>
  <c r="N165" i="2"/>
  <c r="N146" i="2"/>
  <c r="N144" i="2"/>
  <c r="K144" i="2" s="1"/>
  <c r="L144" i="2" s="1"/>
  <c r="N142" i="2"/>
  <c r="K142" i="2" s="1"/>
  <c r="L142" i="2" s="1"/>
  <c r="N106" i="2"/>
  <c r="A10" i="2" l="1"/>
  <c r="A11" i="2" s="1"/>
  <c r="K394" i="2"/>
  <c r="L394" i="2" s="1"/>
  <c r="K388" i="2"/>
  <c r="L388" i="2" s="1"/>
  <c r="K393" i="2"/>
  <c r="L393" i="2" s="1"/>
  <c r="K397" i="2"/>
  <c r="L397" i="2" s="1"/>
  <c r="K390" i="2"/>
  <c r="L390" i="2" s="1"/>
  <c r="K391" i="2"/>
  <c r="L391" i="2" s="1"/>
  <c r="K395" i="2"/>
  <c r="L395" i="2" s="1"/>
  <c r="K185" i="2"/>
  <c r="L185" i="2" s="1"/>
  <c r="K269" i="2"/>
  <c r="L269" i="2" s="1"/>
  <c r="K165" i="2"/>
  <c r="L165" i="2" s="1"/>
  <c r="K146" i="2"/>
  <c r="L146" i="2" s="1"/>
  <c r="K252" i="2"/>
  <c r="L252" i="2" s="1"/>
  <c r="K265" i="2"/>
  <c r="L265" i="2" s="1"/>
  <c r="K106" i="2"/>
  <c r="L106" i="2" s="1"/>
  <c r="A13" i="2" l="1"/>
  <c r="F165" i="2"/>
  <c r="F106" i="2"/>
  <c r="I106" i="2" l="1"/>
  <c r="O106" i="2" s="1"/>
  <c r="P106" i="2" s="1"/>
  <c r="I165" i="2"/>
  <c r="O165" i="2" s="1"/>
  <c r="P165" i="2" s="1"/>
  <c r="A14" i="2"/>
  <c r="A15" i="2" s="1"/>
  <c r="F144" i="2"/>
  <c r="I144" i="2" s="1"/>
  <c r="F142" i="2"/>
  <c r="I142" i="2" s="1"/>
  <c r="O142" i="2" l="1"/>
  <c r="P142" i="2" s="1"/>
  <c r="O144" i="2"/>
  <c r="P144" i="2" s="1"/>
  <c r="A16" i="2"/>
  <c r="A17" i="2" s="1"/>
  <c r="F92" i="2"/>
  <c r="I92" i="2" s="1"/>
  <c r="N92" i="2"/>
  <c r="K92" i="2" s="1"/>
  <c r="F93" i="2"/>
  <c r="I93" i="2" s="1"/>
  <c r="N93" i="2"/>
  <c r="K93" i="2" s="1"/>
  <c r="L93" i="2" s="1"/>
  <c r="A18" i="2" l="1"/>
  <c r="A19" i="2" s="1"/>
  <c r="A20" i="2" s="1"/>
  <c r="A21" i="2" s="1"/>
  <c r="A22" i="2" s="1"/>
  <c r="L92" i="2"/>
  <c r="O93" i="2"/>
  <c r="P93" i="2" s="1"/>
  <c r="O92" i="2"/>
  <c r="A26" i="2" l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6" i="2" s="1"/>
  <c r="A57" i="2" s="1"/>
  <c r="A58" i="2" s="1"/>
  <c r="A60" i="2" s="1"/>
  <c r="A61" i="2" s="1"/>
  <c r="A62" i="2" s="1"/>
  <c r="A63" i="2" s="1"/>
  <c r="A65" i="2" s="1"/>
  <c r="A67" i="2" s="1"/>
  <c r="A68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90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6" i="2" s="1"/>
  <c r="A111" i="2" s="1"/>
  <c r="A113" i="2" s="1"/>
  <c r="A114" i="2" s="1"/>
  <c r="A115" i="2" s="1"/>
  <c r="A116" i="2" s="1"/>
  <c r="A118" i="2" s="1"/>
  <c r="A119" i="2" s="1"/>
  <c r="A120" i="2" s="1"/>
  <c r="A122" i="2" s="1"/>
  <c r="A123" i="2" s="1"/>
  <c r="A124" i="2" s="1"/>
  <c r="A125" i="2" s="1"/>
  <c r="A127" i="2" s="1"/>
  <c r="A128" i="2" s="1"/>
  <c r="A129" i="2" s="1"/>
  <c r="A130" i="2" s="1"/>
  <c r="A131" i="2" s="1"/>
  <c r="A132" i="2" s="1"/>
  <c r="A134" i="2" s="1"/>
  <c r="A135" i="2" s="1"/>
  <c r="A137" i="2" s="1"/>
  <c r="A138" i="2" s="1"/>
  <c r="A139" i="2" s="1"/>
  <c r="A140" i="2" s="1"/>
  <c r="A141" i="2" s="1"/>
  <c r="A142" i="2" s="1"/>
  <c r="A143" i="2" s="1"/>
  <c r="A144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9" i="2" s="1"/>
  <c r="A160" i="2" s="1"/>
  <c r="A161" i="2" s="1"/>
  <c r="A162" i="2" s="1"/>
  <c r="A164" i="2" s="1"/>
  <c r="A165" i="2" s="1"/>
  <c r="A167" i="2" s="1"/>
  <c r="A169" i="2" s="1"/>
  <c r="A170" i="2" s="1"/>
  <c r="A171" i="2" s="1"/>
  <c r="A176" i="2" s="1"/>
  <c r="A177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1" i="2" s="1"/>
  <c r="A192" i="2" s="1"/>
  <c r="A193" i="2" s="1"/>
  <c r="A194" i="2" s="1"/>
  <c r="A195" i="2" s="1"/>
  <c r="A196" i="2" s="1"/>
  <c r="A198" i="2" s="1"/>
  <c r="A199" i="2" s="1"/>
  <c r="A200" i="2" s="1"/>
  <c r="A201" i="2" s="1"/>
  <c r="A203" i="2" s="1"/>
  <c r="A204" i="2" s="1"/>
  <c r="A209" i="2" s="1"/>
  <c r="A210" i="2" s="1"/>
  <c r="A211" i="2" s="1"/>
  <c r="A212" i="2" s="1"/>
  <c r="A213" i="2" s="1"/>
  <c r="A214" i="2" s="1"/>
  <c r="A215" i="2" s="1"/>
  <c r="A217" i="2" s="1"/>
  <c r="A218" i="2" s="1"/>
  <c r="A219" i="2" s="1"/>
  <c r="A220" i="2" s="1"/>
  <c r="A222" i="2" s="1"/>
  <c r="A223" i="2" s="1"/>
  <c r="A225" i="2" s="1"/>
  <c r="A230" i="2" s="1"/>
  <c r="A231" i="2" s="1"/>
  <c r="A233" i="2" s="1"/>
  <c r="A234" i="2" s="1"/>
  <c r="A236" i="2" s="1"/>
  <c r="A241" i="2" s="1"/>
  <c r="A246" i="2" s="1"/>
  <c r="A252" i="2" s="1"/>
  <c r="A254" i="2" s="1"/>
  <c r="A259" i="2" s="1"/>
  <c r="A265" i="2" s="1"/>
  <c r="A268" i="2" s="1"/>
  <c r="A269" i="2" s="1"/>
  <c r="A271" i="2" s="1"/>
  <c r="A272" i="2" s="1"/>
  <c r="A274" i="2" s="1"/>
  <c r="A275" i="2" s="1"/>
  <c r="A276" i="2" s="1"/>
  <c r="A277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5" i="2" s="1"/>
  <c r="A296" i="2" s="1"/>
  <c r="A297" i="2" s="1"/>
  <c r="A298" i="2" s="1"/>
  <c r="A299" i="2" s="1"/>
  <c r="A300" i="2" s="1"/>
  <c r="A301" i="2" s="1"/>
  <c r="A303" i="2" s="1"/>
  <c r="A308" i="2" s="1"/>
  <c r="A309" i="2" s="1"/>
  <c r="A310" i="2" s="1"/>
  <c r="A311" i="2" s="1"/>
  <c r="A312" i="2" s="1"/>
  <c r="A317" i="2" s="1"/>
  <c r="A318" i="2" s="1"/>
  <c r="A319" i="2" s="1"/>
  <c r="A325" i="2" s="1"/>
  <c r="A326" i="2" s="1"/>
  <c r="A327" i="2" s="1"/>
  <c r="A328" i="2" s="1"/>
  <c r="A329" i="2" s="1"/>
  <c r="A331" i="2" s="1"/>
  <c r="A332" i="2" s="1"/>
  <c r="A333" i="2" s="1"/>
  <c r="A334" i="2" s="1"/>
  <c r="A335" i="2" s="1"/>
  <c r="A337" i="2" s="1"/>
  <c r="A338" i="2" s="1"/>
  <c r="A339" i="2" s="1"/>
  <c r="A340" i="2" s="1"/>
  <c r="A341" i="2" s="1"/>
  <c r="A342" i="2" s="1"/>
  <c r="A344" i="2" s="1"/>
  <c r="A346" i="2" s="1"/>
  <c r="A348" i="2" s="1"/>
  <c r="A353" i="2" s="1"/>
  <c r="A355" i="2" s="1"/>
  <c r="A356" i="2" s="1"/>
  <c r="A357" i="2" s="1"/>
  <c r="A358" i="2" s="1"/>
  <c r="A360" i="2" s="1"/>
  <c r="A365" i="2" s="1"/>
  <c r="A366" i="2" s="1"/>
  <c r="A367" i="2" s="1"/>
  <c r="A368" i="2" s="1"/>
  <c r="A370" i="2" s="1"/>
  <c r="A371" i="2" s="1"/>
  <c r="A372" i="2" s="1"/>
  <c r="A374" i="2" s="1"/>
  <c r="A375" i="2" s="1"/>
  <c r="A376" i="2" s="1"/>
  <c r="A377" i="2" s="1"/>
  <c r="A379" i="2" s="1"/>
  <c r="A381" i="2" s="1"/>
  <c r="A383" i="2" s="1"/>
  <c r="A388" i="2" s="1"/>
  <c r="A390" i="2" s="1"/>
  <c r="A391" i="2" s="1"/>
  <c r="A393" i="2" s="1"/>
  <c r="A394" i="2" s="1"/>
  <c r="A395" i="2" s="1"/>
  <c r="A397" i="2" s="1"/>
  <c r="O87" i="2"/>
  <c r="K16" i="3" s="1"/>
  <c r="P92" i="2"/>
  <c r="L15" i="3"/>
  <c r="L14" i="3" l="1"/>
  <c r="F185" i="2"/>
  <c r="I185" i="2" l="1"/>
  <c r="O185" i="2" s="1"/>
  <c r="P185" i="2" s="1"/>
  <c r="L27" i="3"/>
  <c r="L24" i="3" l="1"/>
  <c r="L25" i="3"/>
  <c r="L26" i="3"/>
  <c r="F265" i="2" l="1"/>
  <c r="I265" i="2" s="1"/>
  <c r="F269" i="2"/>
  <c r="I269" i="2" s="1"/>
  <c r="O269" i="2" l="1"/>
  <c r="P269" i="2" s="1"/>
  <c r="O265" i="2"/>
  <c r="P265" i="2" s="1"/>
  <c r="F268" i="2"/>
  <c r="I268" i="2" s="1"/>
  <c r="N268" i="2"/>
  <c r="K268" i="2" s="1"/>
  <c r="L268" i="2" s="1"/>
  <c r="O252" i="2"/>
  <c r="N155" i="2"/>
  <c r="K155" i="2" s="1"/>
  <c r="L155" i="2" s="1"/>
  <c r="P252" i="2" l="1"/>
  <c r="O268" i="2"/>
  <c r="P268" i="2" s="1"/>
  <c r="F180" i="2"/>
  <c r="I180" i="2" s="1"/>
  <c r="N180" i="2"/>
  <c r="K180" i="2" s="1"/>
  <c r="L180" i="2" s="1"/>
  <c r="F179" i="2"/>
  <c r="I179" i="2" s="1"/>
  <c r="N179" i="2"/>
  <c r="K179" i="2" s="1"/>
  <c r="L179" i="2" s="1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D156" i="2"/>
  <c r="F155" i="2"/>
  <c r="I155" i="2" s="1"/>
  <c r="D147" i="2"/>
  <c r="F146" i="2"/>
  <c r="A195" i="3"/>
  <c r="A194" i="3"/>
  <c r="A193" i="3"/>
  <c r="A192" i="3"/>
  <c r="A191" i="3"/>
  <c r="A190" i="3"/>
  <c r="A189" i="3"/>
  <c r="A188" i="3"/>
  <c r="A187" i="3"/>
  <c r="A186" i="3"/>
  <c r="A185" i="3"/>
  <c r="A184" i="3"/>
  <c r="A183" i="3"/>
  <c r="A182" i="3"/>
  <c r="A181" i="3"/>
  <c r="A180" i="3"/>
  <c r="A179" i="3"/>
  <c r="A178" i="3"/>
  <c r="A177" i="3"/>
  <c r="A176" i="3"/>
  <c r="A175" i="3"/>
  <c r="A174" i="3"/>
  <c r="A173" i="3"/>
  <c r="A172" i="3"/>
  <c r="A171" i="3"/>
  <c r="A170" i="3"/>
  <c r="A169" i="3"/>
  <c r="A168" i="3"/>
  <c r="A167" i="3"/>
  <c r="A166" i="3"/>
  <c r="A165" i="3"/>
  <c r="A164" i="3"/>
  <c r="A163" i="3"/>
  <c r="A162" i="3"/>
  <c r="A161" i="3"/>
  <c r="A160" i="3"/>
  <c r="A159" i="3"/>
  <c r="A158" i="3"/>
  <c r="A157" i="3"/>
  <c r="A156" i="3"/>
  <c r="A155" i="3"/>
  <c r="A154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32" i="3"/>
  <c r="A131" i="3"/>
  <c r="A130" i="3"/>
  <c r="A129" i="3"/>
  <c r="A128" i="3"/>
  <c r="A127" i="3"/>
  <c r="A126" i="3"/>
  <c r="A125" i="3"/>
  <c r="A124" i="3"/>
  <c r="A123" i="3"/>
  <c r="A122" i="3"/>
  <c r="A121" i="3"/>
  <c r="A120" i="3"/>
  <c r="A119" i="3"/>
  <c r="A118" i="3"/>
  <c r="A117" i="3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I146" i="2" l="1"/>
  <c r="O146" i="2" s="1"/>
  <c r="P146" i="2" s="1"/>
  <c r="O155" i="2"/>
  <c r="P155" i="2" s="1"/>
  <c r="O227" i="2"/>
  <c r="K20" i="3" s="1"/>
  <c r="L19" i="3"/>
  <c r="L22" i="3"/>
  <c r="L21" i="3"/>
  <c r="O180" i="2"/>
  <c r="P180" i="2" s="1"/>
  <c r="O179" i="2"/>
  <c r="D150" i="2"/>
  <c r="D151" i="2" s="1"/>
  <c r="N149" i="2"/>
  <c r="K149" i="2" s="1"/>
  <c r="L149" i="2" s="1"/>
  <c r="D157" i="2"/>
  <c r="D148" i="2"/>
  <c r="F149" i="2"/>
  <c r="I149" i="2" s="1"/>
  <c r="F147" i="2"/>
  <c r="F156" i="2"/>
  <c r="O173" i="2" l="1"/>
  <c r="O7" i="2"/>
  <c r="K12" i="3" s="1"/>
  <c r="L23" i="3"/>
  <c r="P179" i="2"/>
  <c r="O149" i="2"/>
  <c r="P149" i="2" s="1"/>
  <c r="F150" i="2"/>
  <c r="F151" i="2"/>
  <c r="F148" i="2"/>
  <c r="F157" i="2"/>
  <c r="K18" i="3" l="1"/>
  <c r="L20" i="3"/>
  <c r="L16" i="3"/>
  <c r="L12" i="3"/>
  <c r="L18" i="3" l="1"/>
  <c r="O108" i="2"/>
  <c r="K408" i="2"/>
  <c r="K410" i="2" s="1"/>
  <c r="K411" i="2" s="1"/>
  <c r="N4" i="2" l="1"/>
  <c r="K17" i="3"/>
  <c r="L13" i="3"/>
  <c r="L17" i="3" l="1"/>
  <c r="M9" i="3"/>
  <c r="M30" i="3" s="1"/>
  <c r="P403" i="2"/>
  <c r="P402" i="2"/>
  <c r="P404" i="2"/>
  <c r="P405" i="2"/>
  <c r="M31" i="3" l="1"/>
  <c r="P407" i="2"/>
  <c r="N5" i="2" s="1"/>
  <c r="M33" i="3" l="1"/>
  <c r="M32" i="3"/>
  <c r="M34" i="3"/>
  <c r="M35" i="3" l="1"/>
  <c r="M7" i="3" s="1"/>
</calcChain>
</file>

<file path=xl/sharedStrings.xml><?xml version="1.0" encoding="utf-8"?>
<sst xmlns="http://schemas.openxmlformats.org/spreadsheetml/2006/main" count="741" uniqueCount="415">
  <si>
    <t>MATERIAL TAKEOFF AND COST ESTIMATE STATEMENT</t>
  </si>
  <si>
    <t>LOCATION:</t>
  </si>
  <si>
    <t>TOTAL AREA(SF)</t>
  </si>
  <si>
    <t>Area May Vary</t>
  </si>
  <si>
    <t>Sr #</t>
  </si>
  <si>
    <t>REFERENCE</t>
  </si>
  <si>
    <t>DESCRIPTION</t>
  </si>
  <si>
    <t>TOTAL COST</t>
  </si>
  <si>
    <t>$COST/SF</t>
  </si>
  <si>
    <t>DIVISION WISE SUMMARY</t>
  </si>
  <si>
    <t>CSI DIVISIONS</t>
  </si>
  <si>
    <t>01-General Conditions</t>
  </si>
  <si>
    <t>02-Demolition Of Existing Items</t>
  </si>
  <si>
    <t>03-Concrete</t>
  </si>
  <si>
    <t>05-Metals</t>
  </si>
  <si>
    <t>06-Wood, Plastics &amp; Composites</t>
  </si>
  <si>
    <t>07-Thermal &amp; Moisture Protection</t>
  </si>
  <si>
    <t>08-Openings</t>
  </si>
  <si>
    <t>09-Finishes</t>
  </si>
  <si>
    <t>10-Specialites</t>
  </si>
  <si>
    <t>11-Equipment</t>
  </si>
  <si>
    <t>12-Furnishings</t>
  </si>
  <si>
    <t>22-Plumbing</t>
  </si>
  <si>
    <t>23-Heating, Ventilations &amp; Air Conditioning (HVAC)</t>
  </si>
  <si>
    <t>26-Electrical</t>
  </si>
  <si>
    <t>31-Earthwork</t>
  </si>
  <si>
    <t>SUB TOTAL</t>
  </si>
  <si>
    <t>OVERHEAD</t>
  </si>
  <si>
    <t>PROFIT</t>
  </si>
  <si>
    <t>INSURANCE</t>
  </si>
  <si>
    <t>CONTINGENCY</t>
  </si>
  <si>
    <t>NET TOTAL</t>
  </si>
  <si>
    <t>QUANTITY</t>
  </si>
  <si>
    <t>WASTE</t>
  </si>
  <si>
    <t>TOTAL QTY</t>
  </si>
  <si>
    <t>UNIT</t>
  </si>
  <si>
    <t>COST/UNIT</t>
  </si>
  <si>
    <t>MATERIAL TOTAL</t>
  </si>
  <si>
    <t>01. GENERAL CONDITIONS</t>
  </si>
  <si>
    <t>INDIRECT PROJECT COSTS</t>
  </si>
  <si>
    <t>General Liability Insurance</t>
  </si>
  <si>
    <t>General Conditions (Backoffice Overhead)</t>
  </si>
  <si>
    <t>DIRECT PROJECT COSTS</t>
  </si>
  <si>
    <t>Bonding Fee (If required)</t>
  </si>
  <si>
    <t>Equipment Rental</t>
  </si>
  <si>
    <t>Travel, Tools, Gas</t>
  </si>
  <si>
    <t>Temp. Facilities</t>
  </si>
  <si>
    <t>Temp. Signage and Protection</t>
  </si>
  <si>
    <t>Temp. Fencing</t>
  </si>
  <si>
    <t>Field Superintendent/Foreman (Full Time)</t>
  </si>
  <si>
    <t>SF</t>
  </si>
  <si>
    <t>LF</t>
  </si>
  <si>
    <t>EA</t>
  </si>
  <si>
    <t>05. METALS</t>
  </si>
  <si>
    <t>WALL FRAMING</t>
  </si>
  <si>
    <t>06. WOOD PLASTICS &amp; COMPOSITES</t>
  </si>
  <si>
    <t>SHEATHING</t>
  </si>
  <si>
    <t>No Of Sheets (4'x8')</t>
  </si>
  <si>
    <t>10d Common Nails</t>
  </si>
  <si>
    <t>08. OPENINGS</t>
  </si>
  <si>
    <t>DOORS &amp; FRAMES</t>
  </si>
  <si>
    <t>DOOR HARDWARE SET</t>
  </si>
  <si>
    <t>LS</t>
  </si>
  <si>
    <t>09. FINISHES</t>
  </si>
  <si>
    <t>FLOORING</t>
  </si>
  <si>
    <t>BASE, TRIMS, TRANSITIONS</t>
  </si>
  <si>
    <t>CEILING</t>
  </si>
  <si>
    <t>CEILING PAINT</t>
  </si>
  <si>
    <t>10. SPECIALITIES</t>
  </si>
  <si>
    <t>BATHROOM ACCESSORIES</t>
  </si>
  <si>
    <t>Soap Dispenser</t>
  </si>
  <si>
    <t>11. EQUIPMENT</t>
  </si>
  <si>
    <t>12. FURNISHINGS</t>
  </si>
  <si>
    <t>COUNTERTOP &amp; BACKSPLASH</t>
  </si>
  <si>
    <t>NOTES FOR CLIENTS</t>
  </si>
  <si>
    <t>SUBTOTAL</t>
  </si>
  <si>
    <t>THIS EXCEL STATEMENT IS EDITABLE AND CAN BE MODIFIED AS NEEDED.</t>
  </si>
  <si>
    <t>GENERAL CONDITIONS</t>
  </si>
  <si>
    <t>WALL PAINT</t>
  </si>
  <si>
    <t>07. THERMAL &amp; MOISTURE PROTECTION</t>
  </si>
  <si>
    <t>THERMAL &amp; WEATHER PROOFING</t>
  </si>
  <si>
    <t>DRYWALL</t>
  </si>
  <si>
    <t>WALL FINISHES</t>
  </si>
  <si>
    <t>FLASHING &amp; SHEET METALS</t>
  </si>
  <si>
    <t>ROOFING</t>
  </si>
  <si>
    <t>PAINTING</t>
  </si>
  <si>
    <t>PIPING</t>
  </si>
  <si>
    <t>22. PLUMBING</t>
  </si>
  <si>
    <t>PLUMBING FIXTURES</t>
  </si>
  <si>
    <t>23. HEATING VENTILATING &amp; AIR CONDITIONING (HVAC)</t>
  </si>
  <si>
    <t>26. ELECTRICAL</t>
  </si>
  <si>
    <t xml:space="preserve">LIGHTING FIXTURES </t>
  </si>
  <si>
    <t xml:space="preserve">ALLOWANCE  </t>
  </si>
  <si>
    <t>WINDOWS</t>
  </si>
  <si>
    <t>CY</t>
  </si>
  <si>
    <t>31. EARTHWORK</t>
  </si>
  <si>
    <t>EXCAVATION</t>
  </si>
  <si>
    <t>BACKFILL</t>
  </si>
  <si>
    <t>03. CONCRETE</t>
  </si>
  <si>
    <t>04. MASONRY</t>
  </si>
  <si>
    <t>No Of Blocks (8''x8''x16'')</t>
  </si>
  <si>
    <t>Grout</t>
  </si>
  <si>
    <t>LABOR 
$/UNIT</t>
  </si>
  <si>
    <t>TOTAL MANHOURS</t>
  </si>
  <si>
    <t>EFFICIENCY
(UNIT/HRs)</t>
  </si>
  <si>
    <t>LABOR RATE</t>
  </si>
  <si>
    <t>TOTAL LABOR
COST</t>
  </si>
  <si>
    <t>LABOR + MAT TOTAL COST</t>
  </si>
  <si>
    <t>L+M UNIT COST</t>
  </si>
  <si>
    <t>RISER</t>
  </si>
  <si>
    <t>WOODEN STAIRS</t>
  </si>
  <si>
    <t>ALLOWANCES</t>
  </si>
  <si>
    <t>TELECOMMUNICATION DEVICES</t>
  </si>
  <si>
    <t>FIRE ALARM DEVICES</t>
  </si>
  <si>
    <t>SOFFIT</t>
  </si>
  <si>
    <t>EXTERIOR FINISHES</t>
  </si>
  <si>
    <t>Crew Size</t>
  </si>
  <si>
    <t>Working Days</t>
  </si>
  <si>
    <t>Months</t>
  </si>
  <si>
    <t>04-Masonry</t>
  </si>
  <si>
    <r>
      <rPr>
        <b/>
        <sz val="12"/>
        <rFont val="Abadi"/>
        <family val="2"/>
      </rPr>
      <t>NOTES:</t>
    </r>
    <r>
      <rPr>
        <b/>
        <sz val="12"/>
        <color rgb="FFFF0000"/>
        <rFont val="Abadi"/>
        <family val="2"/>
      </rPr>
      <t xml:space="preserve"> PRICES OF LABOR AND MATERIALS ARE TAKEN FROM ONLINE MARKET RESOURCES AND CAN DIFFER FROM LOCAL VENDOR/SUPPLIER, RESPECTED CLIENTS ARE ADVISED TO DOUBLE CHECK TO MAKE SURE THE BID IS COMPETITIVE.</t>
    </r>
  </si>
  <si>
    <t>Units Legends; LS=Lump sum, LF=Linear Footage, CY=Cubic Yard, SF=Square Footage, EA=Count/Each</t>
  </si>
  <si>
    <t>PROJECT</t>
  </si>
  <si>
    <t>BUILDER COST</t>
  </si>
  <si>
    <t>ADDRESS</t>
  </si>
  <si>
    <t>TOTAL BID COST</t>
  </si>
  <si>
    <t>CONCRETE FOR FOUNDATION</t>
  </si>
  <si>
    <t>CMU WALLS</t>
  </si>
  <si>
    <t>STEEL COLUMN</t>
  </si>
  <si>
    <t>METALLIC HARDWARE</t>
  </si>
  <si>
    <t>WOOD HEADERS</t>
  </si>
  <si>
    <t>WOODEN POST, COLUMNS</t>
  </si>
  <si>
    <t>WALL PLATES</t>
  </si>
  <si>
    <t>WOODEN JOISTS, RAFTERS &amp; TRUSSES</t>
  </si>
  <si>
    <t>MILLWORK</t>
  </si>
  <si>
    <t>BLOCKING</t>
  </si>
  <si>
    <t>ROOF DRAINAGE</t>
  </si>
  <si>
    <t>DOOR PAINT</t>
  </si>
  <si>
    <t>Tissue Paper Holder</t>
  </si>
  <si>
    <t>Hand Dryer</t>
  </si>
  <si>
    <t>APPLIANCES</t>
  </si>
  <si>
    <t>EQUIPMENTS</t>
  </si>
  <si>
    <t xml:space="preserve">4'x8' GB Sheet </t>
  </si>
  <si>
    <t>Sheets</t>
  </si>
  <si>
    <t>500' Tape Roll</t>
  </si>
  <si>
    <t>Rolls</t>
  </si>
  <si>
    <t>Joint Compound</t>
  </si>
  <si>
    <t>Gallons</t>
  </si>
  <si>
    <t>1-1/4" Drywall Screws</t>
  </si>
  <si>
    <t>Total Man-hours</t>
  </si>
  <si>
    <t>3" x 3" x 0.229 Washer Plate</t>
  </si>
  <si>
    <t xml:space="preserve">5/8" Anchor Bolt </t>
  </si>
  <si>
    <t>Pounds</t>
  </si>
  <si>
    <t>ADDITION &amp; ALTERATION 1435 EDWIN PLACE</t>
  </si>
  <si>
    <t>1435 EDWIN PLACE PLAINFIELD, NJ</t>
  </si>
  <si>
    <t>RAILING</t>
  </si>
  <si>
    <t>2"x4" Wood Studs @ 16" O.C. (Wall Height = 8'-0")</t>
  </si>
  <si>
    <t>2"x6" Wood Studs @ 16" O.C. (Wall Height = 5'-0")</t>
  </si>
  <si>
    <t>2"x6" Wood Studs @ 16" O.C. (Wall Height = 8'-0")</t>
  </si>
  <si>
    <t>2"x6" Gable Framing</t>
  </si>
  <si>
    <t>2"x4" Top Wood Plate</t>
  </si>
  <si>
    <t>2"x4" Bottom Wood Plate</t>
  </si>
  <si>
    <t>2"x4" Pressure Treated Sill Plate</t>
  </si>
  <si>
    <t>2"x6" Top Wood Plate</t>
  </si>
  <si>
    <t>2"x6" Bottom Wood Plate</t>
  </si>
  <si>
    <t>2"x6" Pressure Treated Sill Plate</t>
  </si>
  <si>
    <t xml:space="preserve">2"x10" Floor Joist @ 16" O.C. </t>
  </si>
  <si>
    <t>2"x8" Ceiling Joist @ 16" O.C.</t>
  </si>
  <si>
    <t>2"x10" Roof Rafters @ 16" O.C.</t>
  </si>
  <si>
    <t>2"x6" Collar Ties @ 16" O.C.</t>
  </si>
  <si>
    <t>2"x4" Outriggers @ 16" O.C.</t>
  </si>
  <si>
    <t>2"x10" Rim Joist</t>
  </si>
  <si>
    <t>2"x8" Rim Joist</t>
  </si>
  <si>
    <t>5/8" Plywood Sheathing @ Walls</t>
  </si>
  <si>
    <t>3/4" Plywood Sub-Floor</t>
  </si>
  <si>
    <t>1/2" Plywood Sheathing @ Attic Floor</t>
  </si>
  <si>
    <t>3'-10" x 8'-0" Wood Platform</t>
  </si>
  <si>
    <t>2"x12" Blocking</t>
  </si>
  <si>
    <t>2"x10" Blocking</t>
  </si>
  <si>
    <t>R-11 Batt Insulation @ Floor</t>
  </si>
  <si>
    <t>R-21 Batt Insulation @ Walls</t>
  </si>
  <si>
    <t>Vapor Barrier @ Walls</t>
  </si>
  <si>
    <t>R-3 Rigid Insulation @ Walls</t>
  </si>
  <si>
    <t>Waterproofing @ Tiles</t>
  </si>
  <si>
    <t>1/2" Gypsum Wall Board</t>
  </si>
  <si>
    <t>1/2" Moisture Resistant Gypsum Wall Board</t>
  </si>
  <si>
    <t>1/2" Tile Backer Board</t>
  </si>
  <si>
    <t>Acoustical Sealant At Penetrations</t>
  </si>
  <si>
    <t>Ceramic Wall Tiles</t>
  </si>
  <si>
    <t>SEALANT</t>
  </si>
  <si>
    <t>Paint @ Gypsum Wall Board - New Walls</t>
  </si>
  <si>
    <t>Paint @ Gypsum Wall Board - Existing Walls</t>
  </si>
  <si>
    <t>2"x8" Roof Plate</t>
  </si>
  <si>
    <t>H3 Simpson Hurricane Clip</t>
  </si>
  <si>
    <t>R-38 Batt Insulation @ Floor/Ceiling</t>
  </si>
  <si>
    <t>Vapor Barrier @ Floor</t>
  </si>
  <si>
    <t>MSTA24</t>
  </si>
  <si>
    <t>Simpson Strong Tie H2.5</t>
  </si>
  <si>
    <t>MAB23</t>
  </si>
  <si>
    <t>A3</t>
  </si>
  <si>
    <t>A6</t>
  </si>
  <si>
    <t>TYPE L COPPER</t>
  </si>
  <si>
    <t>1" Dia Cold Water Pipe</t>
  </si>
  <si>
    <t>1/2" Dia Cold Water Pipe</t>
  </si>
  <si>
    <t>3/4" Dia Cold Water Pipe</t>
  </si>
  <si>
    <t>1/2" Dia Hot Water Pipe</t>
  </si>
  <si>
    <t>3/4" Dia Hot Water Pipe</t>
  </si>
  <si>
    <t>PVC SCH 40</t>
  </si>
  <si>
    <t>1-1/2" Dia Sanitary Pipe</t>
  </si>
  <si>
    <t>2" Dia Sanitary Pipe</t>
  </si>
  <si>
    <t>3" Dia Sanitary Pipe</t>
  </si>
  <si>
    <t>1-1/2" Dia Vent Pipe</t>
  </si>
  <si>
    <t>2" Dia Vent Pipe</t>
  </si>
  <si>
    <t>2" Dia Shower Drain</t>
  </si>
  <si>
    <t>2" Self-Priming Floor Drain</t>
  </si>
  <si>
    <t>24"x21" Kitchen Sink</t>
  </si>
  <si>
    <t>Oval Lavatory</t>
  </si>
  <si>
    <t>Shower Head W/Controls</t>
  </si>
  <si>
    <t>WC, Water Closet</t>
  </si>
  <si>
    <t>PLUMBING EQUIPMENTS</t>
  </si>
  <si>
    <t>Hot Water Heater</t>
  </si>
  <si>
    <t>MISCELLANEOUS</t>
  </si>
  <si>
    <t>3" VTR, Vent Through Roof</t>
  </si>
  <si>
    <r>
      <t xml:space="preserve">Allowance Provided For Plumbing Fittings, Joints, Insulation, Etc.
</t>
    </r>
    <r>
      <rPr>
        <b/>
        <sz val="12"/>
        <rFont val="Abadi"/>
        <family val="2"/>
      </rPr>
      <t>Total Area: 2634 SF</t>
    </r>
  </si>
  <si>
    <t>A1, A2, A6</t>
  </si>
  <si>
    <t>Boiler</t>
  </si>
  <si>
    <t>CU, Condenser Units</t>
  </si>
  <si>
    <t>EF, Exhaust Fan</t>
  </si>
  <si>
    <t>Hot Air Gas Furnace</t>
  </si>
  <si>
    <r>
      <t xml:space="preserve">Allowance Provided For HVAC Piping, Ductwork, Joints, Fitting &amp; Insulation
</t>
    </r>
    <r>
      <rPr>
        <b/>
        <sz val="12"/>
        <rFont val="Abadi"/>
        <family val="2"/>
      </rPr>
      <t>Total Area: 2634 SF</t>
    </r>
  </si>
  <si>
    <t>RECEPTACLES</t>
  </si>
  <si>
    <t>Duplex Receptacle</t>
  </si>
  <si>
    <t>GFI Duplex Receptacle</t>
  </si>
  <si>
    <t>Simplex Receptacle</t>
  </si>
  <si>
    <t>WP, GFI Duplex Receptacle</t>
  </si>
  <si>
    <t>A2, A6</t>
  </si>
  <si>
    <t>LIGHTING CONTROLS</t>
  </si>
  <si>
    <t>3-Way Switch</t>
  </si>
  <si>
    <t>Dimmer Switch</t>
  </si>
  <si>
    <t>Single Pole Switch</t>
  </si>
  <si>
    <t>8" Dia Recessed Downlight</t>
  </si>
  <si>
    <t>8" Dia Vapor Resistant Fixture W/Lens</t>
  </si>
  <si>
    <t>8" Dia Wall Mounted Light Fixture</t>
  </si>
  <si>
    <t>10" Dia Porcelain LED Fixture</t>
  </si>
  <si>
    <t>A/C Type Smoke Detector, Inter-Wired W/Battery Backup</t>
  </si>
  <si>
    <t>Cable TV Outlet</t>
  </si>
  <si>
    <r>
      <t xml:space="preserve">Allowance Provided For Electrical Wiring &amp; Conduits
</t>
    </r>
    <r>
      <rPr>
        <b/>
        <sz val="12"/>
        <rFont val="Abadi"/>
        <family val="2"/>
      </rPr>
      <t>Total Area: 2634 SF</t>
    </r>
  </si>
  <si>
    <t>02. EXISTING CONDITIONS</t>
  </si>
  <si>
    <t>A-2, A-4</t>
  </si>
  <si>
    <t>DEMOLITION OF EXISTING ITEMS</t>
  </si>
  <si>
    <t>Remove Existing Portico Roof</t>
  </si>
  <si>
    <t>Remove Existing Floor Finishes</t>
  </si>
  <si>
    <t xml:space="preserve">Remove Existing Asphalt Shingles Roof </t>
  </si>
  <si>
    <t>Remove Existing Roof Rafters</t>
  </si>
  <si>
    <t>Remove Existing Ceiling Joists</t>
  </si>
  <si>
    <t>Remove Existing Gypsum Wall Board Ceiling W/ Light Fixtures</t>
  </si>
  <si>
    <t>Remove Existing Fiber Cement Siding</t>
  </si>
  <si>
    <t>Remove Existing Countertop</t>
  </si>
  <si>
    <t>Remove Existing Backsplash Tile</t>
  </si>
  <si>
    <t>Remove Existing Wall Cabinets</t>
  </si>
  <si>
    <t>Remove Existing Base Cabinets</t>
  </si>
  <si>
    <t>Remove Existing Guardrail</t>
  </si>
  <si>
    <t>Remove Existing Handrail</t>
  </si>
  <si>
    <t>Remove Existing Wall Base</t>
  </si>
  <si>
    <t>Remove Existing Windows</t>
  </si>
  <si>
    <t>Remove Existing Door</t>
  </si>
  <si>
    <t>Remove 5'-0" Wide Existing Concrete Stair</t>
  </si>
  <si>
    <t>Remove Existing Refrigerator</t>
  </si>
  <si>
    <t>Remove Existing Kitchen Sink</t>
  </si>
  <si>
    <t>Remove Existing Dishwasher</t>
  </si>
  <si>
    <t>A-2
A-3</t>
  </si>
  <si>
    <t>3'-0" x 3'-0" x 1'-0" Concrete Pad Footings w/_x000D_
#4 Rebars @7" O.C Each Way</t>
  </si>
  <si>
    <t>1'-8" x 1'-0" Continuous Concrete Footings w/_x000D_
(3) #4 Cont. Bars and #3 Ties @24" O.C_x000D_
#4 Bent Dowels @24" O.C</t>
  </si>
  <si>
    <t>1'-8" x 1'-0" Continuous Concrete Footings w/_x000D_
(2) #5 Cont. Bars_x000D_</t>
  </si>
  <si>
    <t>Note: Reinforcement is assumed.</t>
  </si>
  <si>
    <t>CONCRETE FOR SLABS</t>
  </si>
  <si>
    <t>4" Concrete Slab on Grade</t>
  </si>
  <si>
    <t>6x6 #10 W.W.F</t>
  </si>
  <si>
    <t>6 MIL Vapor Barrier</t>
  </si>
  <si>
    <t>4" Crushed Stone Base</t>
  </si>
  <si>
    <t>CONCRETE FOR STEP FOOTINGS</t>
  </si>
  <si>
    <t>2' Wide Reinforced Concrete Step Footings</t>
  </si>
  <si>
    <t>CONCRETE FOR STAIRS</t>
  </si>
  <si>
    <t xml:space="preserve">5'-6" Wide Reinforced Concrete Stairs </t>
  </si>
  <si>
    <t>3'-6" Wide Reinforced Concrete Stairs</t>
  </si>
  <si>
    <t>6" x 8" x 16" CMU Chimney (H=9'-6") w/_x000D_
#5 Vertical Bar @16" O.C</t>
  </si>
  <si>
    <t>No Of Blocks (6''x8''x16'')</t>
  </si>
  <si>
    <t>4" Dia Steel Column (H=7'-0")</t>
  </si>
  <si>
    <t>6"x6"x3/4" Base Plate</t>
  </si>
  <si>
    <t>8"x8" Simpson EPB44T Post Base</t>
  </si>
  <si>
    <t>WOODEN BEAMS</t>
  </si>
  <si>
    <t>6x6 Wood Post (H=8'-0")</t>
  </si>
  <si>
    <t>6x6 Wood Post (H=7'-0")</t>
  </si>
  <si>
    <t>6x4 Wood Post (H=8'-0")</t>
  </si>
  <si>
    <t>A-3</t>
  </si>
  <si>
    <t xml:space="preserve">2'-0" Deep Base Cabinets </t>
  </si>
  <si>
    <t>1'-0" Deep Upper Cabinets</t>
  </si>
  <si>
    <t xml:space="preserve">1'-0" Deep Walk In Closet </t>
  </si>
  <si>
    <t>1'-0" Deep Storage Closet</t>
  </si>
  <si>
    <t>3'-0" Wide Wooden Stairs 
13 Risers @ 8.25"
12 Treads @ 9"</t>
  </si>
  <si>
    <t>Timberline Type Asphalt Shingles</t>
  </si>
  <si>
    <t>#15 Felt Paper</t>
  </si>
  <si>
    <t>Winter Guard Underlayment</t>
  </si>
  <si>
    <t>2" Rigid Insulation</t>
  </si>
  <si>
    <t>Drip Edge Metal Flashing</t>
  </si>
  <si>
    <t>Step Wall Flashing</t>
  </si>
  <si>
    <t>Ridge Metal Flashing</t>
  </si>
  <si>
    <t>Ridge Cap</t>
  </si>
  <si>
    <t>Ridge Vent</t>
  </si>
  <si>
    <t>Roof Cricket</t>
  </si>
  <si>
    <t>5" Aluminum K-Gutter</t>
  </si>
  <si>
    <t>Aluminum Downspout</t>
  </si>
  <si>
    <t>Splash Blocks</t>
  </si>
  <si>
    <t>12" Wide Vented Soffit</t>
  </si>
  <si>
    <t>6" Wide Vented Soffit</t>
  </si>
  <si>
    <t xml:space="preserve">6" Wide Fascia Board </t>
  </si>
  <si>
    <t xml:space="preserve">Tyvek House Wrap @ Exterior </t>
  </si>
  <si>
    <t xml:space="preserve">2" x 6" Sub-Fascia </t>
  </si>
  <si>
    <t>3'-0" X 2'-0" Insulated Attic Access Door</t>
  </si>
  <si>
    <t>A-4</t>
  </si>
  <si>
    <t>2'-8" X 4'-6" Windows _x000D_
Andersen TW 2846</t>
  </si>
  <si>
    <t>3'-0" X 4'-6" Windows _x000D_
Andersen TW 3046</t>
  </si>
  <si>
    <t>3'-0" X 3'-6" Windows _x000D_
Andersen TW 3036</t>
  </si>
  <si>
    <t>Allowance Provided For Door Hardware 
Total No. Of Doors = 16 Each</t>
  </si>
  <si>
    <t>3/4" Hardwood Strip Flooring</t>
  </si>
  <si>
    <t>Porcelain Tile Flooring</t>
  </si>
  <si>
    <t>Wood Wall Base</t>
  </si>
  <si>
    <t>Interior Door Trim</t>
  </si>
  <si>
    <t>1/2" Gypsum Board Ceiling</t>
  </si>
  <si>
    <t>1/2" Moisture Resistant Gypsum Board Ceiling</t>
  </si>
  <si>
    <t xml:space="preserve">Paint On Gypsum Board Ceiling </t>
  </si>
  <si>
    <t xml:space="preserve">Paint On Moisture Resistant Gypsum Board Ceiling </t>
  </si>
  <si>
    <t xml:space="preserve">Paint On Single Leaf Door </t>
  </si>
  <si>
    <t xml:space="preserve">Paint On Double Leaf Door </t>
  </si>
  <si>
    <t>Paint On Door Trim</t>
  </si>
  <si>
    <t xml:space="preserve">Paint On Door Frame </t>
  </si>
  <si>
    <t>Fiber Cement Siding</t>
  </si>
  <si>
    <t>Cement Stucco</t>
  </si>
  <si>
    <t>Brick Veneer @ CMU Chimney</t>
  </si>
  <si>
    <t xml:space="preserve">1" x 6" Composite Fascia Board </t>
  </si>
  <si>
    <t>4" Wide Composite Door Trim</t>
  </si>
  <si>
    <t>4" Wide Composite Window Trim</t>
  </si>
  <si>
    <t>4" Wide Composite Trim</t>
  </si>
  <si>
    <t>2" Wide Transition Strip</t>
  </si>
  <si>
    <t>4" Wide Transition Strip</t>
  </si>
  <si>
    <t>Window Sill</t>
  </si>
  <si>
    <t xml:space="preserve">18" Vertical Grab Bar </t>
  </si>
  <si>
    <t xml:space="preserve">36" Grab Bar </t>
  </si>
  <si>
    <t>42" Grab Bar</t>
  </si>
  <si>
    <t>2'-0" X 4'-0" Vanity Mirror</t>
  </si>
  <si>
    <t xml:space="preserve">PARTITION WALL </t>
  </si>
  <si>
    <t>7'-0" High Glass Partition Wall w\_x000D_
Glass Door</t>
  </si>
  <si>
    <t>CHIMNEY HOOD</t>
  </si>
  <si>
    <t>Chimney Hood</t>
  </si>
  <si>
    <t>Dish Washer</t>
  </si>
  <si>
    <t>Washer</t>
  </si>
  <si>
    <t>Dryer</t>
  </si>
  <si>
    <t xml:space="preserve">Microwave Oven </t>
  </si>
  <si>
    <t xml:space="preserve">2'-0" Deep Counter Top </t>
  </si>
  <si>
    <t xml:space="preserve">1'-6" High Tile Splash </t>
  </si>
  <si>
    <t>6" High Back Splash</t>
  </si>
  <si>
    <t>BULK EXCAVATION</t>
  </si>
  <si>
    <t>Bulk Excavation for Crawl Space</t>
  </si>
  <si>
    <t>Excavation for Pad Footings</t>
  </si>
  <si>
    <t>Excavation For Wall Footings</t>
  </si>
  <si>
    <t>Backfill For Crawl Space</t>
  </si>
  <si>
    <t>Backfill For Pad Footings</t>
  </si>
  <si>
    <t>Backfill For Wall Footings</t>
  </si>
  <si>
    <t>NET EXPORT</t>
  </si>
  <si>
    <t xml:space="preserve">2x10 Wood Header </t>
  </si>
  <si>
    <t xml:space="preserve">5 1/4" x 9 1/2" Parallam Beam </t>
  </si>
  <si>
    <t xml:space="preserve">3 1/2" x 11 7/8" Parallam Beam </t>
  </si>
  <si>
    <t xml:space="preserve">3 1/2" x 9 1/4" Parallam Beam </t>
  </si>
  <si>
    <t xml:space="preserve">5 1/4" x 11 7/8" Parallam Beam </t>
  </si>
  <si>
    <t xml:space="preserve">2x6 King Studs </t>
  </si>
  <si>
    <r>
      <t xml:space="preserve">8" x 8" x 16" CMU Wall (H=5'-0") w/_x000D_
#5 Vertical Bar @16" O.C
</t>
    </r>
    <r>
      <rPr>
        <sz val="12"/>
        <color rgb="FFFF0000"/>
        <rFont val="Abadi"/>
        <family val="2"/>
      </rPr>
      <t>Note: Height is Assumed.</t>
    </r>
  </si>
  <si>
    <r>
      <t xml:space="preserve">8" x 8" x 16" CMU Wall (H=3'-0") w/_x000D_
#5 Vertical Bar @16" O.C
</t>
    </r>
    <r>
      <rPr>
        <sz val="12"/>
        <color rgb="FFFF0000"/>
        <rFont val="Abadi"/>
        <family val="2"/>
      </rPr>
      <t>Note: Height is Assumed.</t>
    </r>
  </si>
  <si>
    <t>8" x 8" x 16" CMU Wall (H=4') w/_x000D_
#5 Vertical Bar @16" O.C</t>
  </si>
  <si>
    <t>VENTS</t>
  </si>
  <si>
    <t>16" x 8" Vents @Crawl Space</t>
  </si>
  <si>
    <t>24" x 16" Openings @Crawl Space</t>
  </si>
  <si>
    <t>A-2</t>
  </si>
  <si>
    <t>Sill Sealer</t>
  </si>
  <si>
    <t xml:space="preserve"> STUDS</t>
  </si>
  <si>
    <t>2x6 Jack Studs</t>
  </si>
  <si>
    <t>Remove Existing Column (H=8"-0")</t>
  </si>
  <si>
    <t>6"x6"x3/4" Cap Plate</t>
  </si>
  <si>
    <t>6"x6" Simpson Base Plate</t>
  </si>
  <si>
    <t>6"x6" Simpson Cap Plate</t>
  </si>
  <si>
    <t>6"x4" Simpson Base Plate</t>
  </si>
  <si>
    <t>6"x4" Simpson Cap Plate</t>
  </si>
  <si>
    <t>1-1/4" Dia. Metal Handrail</t>
  </si>
  <si>
    <t>NOTE: ALL FRAMING SHALL BE DOUGLAS FIR LARCH</t>
  </si>
  <si>
    <t>WOODEN STEP</t>
  </si>
  <si>
    <t>8'-0" Wide Wooden Step
1 Riser @ 8"
1 Tread @ 10"</t>
  </si>
  <si>
    <t>ACQ Flashing</t>
  </si>
  <si>
    <t>Cooking Range w/ Hood</t>
  </si>
  <si>
    <t>2'-6" X 3'-6" Tempered Glass Window
Andersen TW 2636</t>
  </si>
  <si>
    <t xml:space="preserve">3'-0" X 6'-8" Single Leaf Solid Wood Door  w\Frame </t>
  </si>
  <si>
    <t xml:space="preserve">3'-0" X 6'-8" Sliding Door w\Frame </t>
  </si>
  <si>
    <t xml:space="preserve">2'-6" X 6'-8" Sliding Door w\Frame </t>
  </si>
  <si>
    <t xml:space="preserve">2'-6" X 6'-8" Single Leaf Solid Wood Door w\Frame </t>
  </si>
  <si>
    <t xml:space="preserve">2'-8" X 6'-8" Single Leaf Solid Wood Door w\Frame </t>
  </si>
  <si>
    <t>Cleaning of Debris (2634 SF)</t>
  </si>
  <si>
    <t>Removed 3'-0" Wide Wooden Stairs Steps</t>
  </si>
  <si>
    <t>5/8" Exterior Grade Plywood Sheathing @ Roof</t>
  </si>
  <si>
    <t>Patch And Repair Existing Gypsum Board</t>
  </si>
  <si>
    <t>Remove Existing 2" x 4" Stud Wall</t>
  </si>
  <si>
    <t>Blocking for Millwork &amp; Accessories</t>
  </si>
  <si>
    <t>Permits</t>
  </si>
  <si>
    <t>Mobilization</t>
  </si>
  <si>
    <t>Final Cleaning</t>
  </si>
  <si>
    <t xml:space="preserve">7'-0" X 7'-0" Double Leaf Door w\Frame 
Anderson FWH6068 </t>
  </si>
  <si>
    <t>COMPANY NAME:</t>
  </si>
  <si>
    <t xml:space="preserve"> MAHARAJ GENERAL CONNTRACTING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</si>
</sst>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&quot;$&quot;#,##0.00"/>
    <numFmt numFmtId="167" formatCode="0.0"/>
    <numFmt numFmtId="168" formatCode="_(&quot;$&quot;* #,##0.0_);_(&quot;$&quot;* \(#,##0.0\);_(&quot;$&quot;* &quot;-&quot;??_);_(@_)"/>
    <numFmt numFmtId="169" formatCode="0.0_ "/>
    <numFmt numFmtId="170" formatCode="&quot;$&quot;#,##0"/>
    <numFmt numFmtId="171" formatCode="_(&quot;$&quot;* #,##0_);_(&quot;$&quot;* \(#,##0\);_(&quot;$&quot;* &quot;-&quot;??_);_(@_)"/>
    <numFmt numFmtId="172" formatCode="_(&quot;$&quot;* #,##0_);_(&quot;$&quot;* \(#,##0\);_(&quot;$&quot;* &quot;-&quot;?_);_(@_)"/>
    <numFmt numFmtId="173" formatCode="_([$$-409]* #,##0.00_);_([$$-409]* \(#,##0.00\);_([$$-409]* &quot;-&quot;??_);_(@_)"/>
    <numFmt numFmtId="174" formatCode="_([$$-409]* #,##0_);_([$$-409]* \(#,##0\);_([$$-409]* &quot;-&quot;??_);_(@_)"/>
    <numFmt numFmtId="175" formatCode="_(&quot;$&quot;* #,##0.00_);_(&quot;$&quot;* \(#,##0.00\);_(&quot;$&quot;* &quot;-&quot;?_);_(@_)"/>
    <numFmt numFmtId="176" formatCode="_(&quot;$&quot;* #,##0.0_);_(&quot;$&quot;* \(#,##0.0\);_(&quot;$&quot;* &quot;-&quot;?_);_(@_)"/>
    <numFmt numFmtId="177" formatCode="_(* #,##0_);_(* \(#,##0\);_(* &quot;-&quot;??_);_(@_)"/>
  </numFmts>
  <fonts count="40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333333"/>
      <name val="Calibri"/>
      <family val="2"/>
      <scheme val="minor"/>
    </font>
    <font>
      <b/>
      <sz val="11"/>
      <color rgb="FF33333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0"/>
      <name val="Abadi"/>
      <family val="2"/>
    </font>
    <font>
      <b/>
      <sz val="12"/>
      <color theme="0"/>
      <name val="Abadi"/>
      <family val="2"/>
    </font>
    <font>
      <sz val="12"/>
      <name val="Abadi"/>
      <family val="2"/>
    </font>
    <font>
      <b/>
      <sz val="11"/>
      <color theme="1"/>
      <name val="Abadi"/>
      <family val="2"/>
    </font>
    <font>
      <sz val="11"/>
      <color theme="1"/>
      <name val="Abadi"/>
      <family val="2"/>
    </font>
    <font>
      <b/>
      <sz val="14"/>
      <color rgb="FFFF0000"/>
      <name val="Abadi"/>
      <family val="2"/>
    </font>
    <font>
      <b/>
      <sz val="14"/>
      <color theme="1"/>
      <name val="Abadi"/>
      <family val="2"/>
    </font>
    <font>
      <b/>
      <sz val="12"/>
      <name val="Abadi"/>
      <family val="2"/>
    </font>
    <font>
      <b/>
      <sz val="12"/>
      <color theme="1"/>
      <name val="Abadi"/>
      <family val="2"/>
    </font>
    <font>
      <sz val="12"/>
      <color theme="1"/>
      <name val="Abadi"/>
      <family val="2"/>
    </font>
    <font>
      <sz val="11"/>
      <name val="Abadi"/>
      <family val="2"/>
    </font>
    <font>
      <b/>
      <sz val="12"/>
      <color rgb="FFFF0000"/>
      <name val="Abadi"/>
      <family val="2"/>
    </font>
    <font>
      <b/>
      <sz val="11"/>
      <color rgb="FFFF0000"/>
      <name val="Abadi"/>
      <family val="2"/>
    </font>
    <font>
      <sz val="18"/>
      <name val="Abadi"/>
      <family val="2"/>
    </font>
    <font>
      <b/>
      <sz val="14"/>
      <name val="Abadi"/>
      <family val="2"/>
    </font>
    <font>
      <sz val="12"/>
      <color theme="0"/>
      <name val="Abadi"/>
      <family val="2"/>
    </font>
    <font>
      <b/>
      <sz val="11"/>
      <color theme="0"/>
      <name val="Abadi"/>
      <family val="2"/>
    </font>
    <font>
      <sz val="11"/>
      <color theme="1"/>
      <name val="Abadi"/>
      <family val="2"/>
    </font>
    <font>
      <b/>
      <sz val="14"/>
      <color rgb="FF002060"/>
      <name val="Abadi"/>
      <family val="2"/>
    </font>
    <font>
      <b/>
      <sz val="12"/>
      <color rgb="FFFF0000"/>
      <name val="Abadi"/>
      <family val="2"/>
    </font>
    <font>
      <b/>
      <sz val="12"/>
      <color rgb="FF002060"/>
      <name val="Abadi"/>
      <family val="2"/>
    </font>
    <font>
      <b/>
      <sz val="14"/>
      <color rgb="FF002060"/>
      <name val="Abadi"/>
      <family val="2"/>
    </font>
    <font>
      <b/>
      <sz val="16"/>
      <color theme="0"/>
      <name val="Abadi"/>
      <family val="2"/>
    </font>
    <font>
      <b/>
      <sz val="12"/>
      <color rgb="FFFF0000"/>
      <name val="Calibri"/>
      <family val="2"/>
      <scheme val="minor"/>
    </font>
    <font>
      <sz val="12"/>
      <color rgb="FFFF0000"/>
      <name val="Abadi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CC"/>
        <bgColor indexed="64"/>
      </patternFill>
    </fill>
    <fill>
      <gradientFill degree="90">
        <stop position="0">
          <color theme="5" tint="-0.25098422193060094"/>
        </stop>
        <stop position="1">
          <color theme="0" tint="-0.49797051911984619"/>
        </stop>
      </gradientFill>
    </fill>
    <fill>
      <gradientFill degree="90">
        <stop position="0">
          <color theme="5" tint="-0.25098422193060094"/>
        </stop>
        <stop position="1">
          <color theme="0" tint="-0.49794000061037019"/>
        </stop>
      </gradientFill>
    </fill>
    <fill>
      <gradientFill degree="270">
        <stop position="0">
          <color rgb="FFAAD2DA"/>
        </stop>
        <stop position="1">
          <color rgb="FF4A909A"/>
        </stop>
      </gradientFill>
    </fill>
    <fill>
      <gradientFill>
        <stop position="0">
          <color theme="5" tint="0.79995117038483843"/>
        </stop>
        <stop position="1">
          <color theme="5" tint="-0.25098422193060094"/>
        </stop>
      </gradientFill>
    </fill>
    <fill>
      <gradientFill>
        <stop position="0">
          <color theme="5" tint="0.79992065187536243"/>
        </stop>
        <stop position="1">
          <color theme="5" tint="-0.25098422193060094"/>
        </stop>
      </gradientFill>
    </fill>
    <fill>
      <gradientFill degree="90">
        <stop position="0">
          <color theme="5"/>
        </stop>
        <stop position="1">
          <color theme="2" tint="-9.8025452436902985E-2"/>
        </stop>
      </gradientFill>
    </fill>
    <fill>
      <patternFill patternType="solid">
        <fgColor rgb="FF0070C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0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22"/>
      </bottom>
      <diagonal/>
    </border>
    <border>
      <left style="thin">
        <color auto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indexed="22"/>
      </left>
      <right/>
      <top style="thin">
        <color indexed="22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medium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rgb="FFB2B2B2"/>
      </right>
      <top style="thin">
        <color auto="1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medium">
        <color indexed="64"/>
      </bottom>
      <diagonal/>
    </border>
    <border>
      <left style="thin">
        <color indexed="22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22"/>
      </bottom>
      <diagonal/>
    </border>
    <border>
      <left/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/>
      <top style="medium">
        <color indexed="64"/>
      </top>
      <bottom style="thin">
        <color indexed="22"/>
      </bottom>
      <diagonal/>
    </border>
    <border>
      <left/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/>
      <top style="thin">
        <color indexed="22"/>
      </top>
      <bottom style="medium">
        <color indexed="64"/>
      </bottom>
      <diagonal/>
    </border>
    <border>
      <left/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medium">
        <color indexed="64"/>
      </right>
      <top style="thin">
        <color indexed="22"/>
      </top>
      <bottom/>
      <diagonal/>
    </border>
    <border>
      <left/>
      <right style="medium">
        <color indexed="64"/>
      </right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</borders>
  <cellStyleXfs count="28">
    <xf numFmtId="0" fontId="0" fillId="0" borderId="0"/>
    <xf numFmtId="164" fontId="6" fillId="0" borderId="0" applyFont="0" applyFill="0" applyBorder="0" applyAlignment="0" applyProtection="0"/>
    <xf numFmtId="0" fontId="6" fillId="4" borderId="38" applyNumberFormat="0" applyFont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6" fillId="0" borderId="0"/>
    <xf numFmtId="0" fontId="6" fillId="4" borderId="38" applyNumberFormat="0" applyFont="0" applyAlignment="0" applyProtection="0"/>
    <xf numFmtId="0" fontId="6" fillId="4" borderId="38" applyNumberFormat="0" applyFont="0" applyAlignment="0" applyProtection="0"/>
    <xf numFmtId="0" fontId="6" fillId="4" borderId="38" applyNumberFormat="0" applyFont="0" applyAlignment="0" applyProtection="0"/>
    <xf numFmtId="0" fontId="6" fillId="4" borderId="38" applyNumberFormat="0" applyFont="0" applyAlignment="0" applyProtection="0"/>
    <xf numFmtId="0" fontId="6" fillId="4" borderId="38" applyNumberFormat="0" applyFont="0" applyAlignment="0" applyProtection="0"/>
    <xf numFmtId="0" fontId="6" fillId="4" borderId="38" applyNumberFormat="0" applyFont="0" applyAlignment="0" applyProtection="0"/>
    <xf numFmtId="0" fontId="9" fillId="5" borderId="4" applyAlignment="0">
      <alignment horizontal="center" vertical="center"/>
    </xf>
    <xf numFmtId="0" fontId="10" fillId="6" borderId="4" applyAlignment="0">
      <alignment horizontal="center" vertical="center"/>
    </xf>
    <xf numFmtId="166" fontId="6" fillId="7" borderId="4">
      <alignment horizontal="right" vertical="center"/>
    </xf>
    <xf numFmtId="166" fontId="6" fillId="7" borderId="4">
      <alignment horizontal="right" vertical="center"/>
    </xf>
    <xf numFmtId="0" fontId="11" fillId="8" borderId="39" applyBorder="0" applyAlignment="0">
      <alignment horizontal="left" vertical="center" wrapText="1"/>
    </xf>
    <xf numFmtId="0" fontId="12" fillId="9" borderId="39" applyBorder="0" applyAlignment="0">
      <alignment horizontal="left" vertical="center" wrapText="1"/>
    </xf>
    <xf numFmtId="166" fontId="13" fillId="10" borderId="40" applyBorder="0">
      <alignment horizontal="center" vertical="center"/>
    </xf>
    <xf numFmtId="166" fontId="14" fillId="10" borderId="40" applyBorder="0">
      <alignment horizontal="center" vertical="center"/>
    </xf>
    <xf numFmtId="0" fontId="2" fillId="4" borderId="38" applyNumberFormat="0" applyFont="0" applyAlignment="0" applyProtection="0"/>
    <xf numFmtId="165" fontId="6" fillId="0" borderId="0" applyFont="0" applyFill="0" applyBorder="0" applyAlignment="0" applyProtection="0"/>
  </cellStyleXfs>
  <cellXfs count="410">
    <xf numFmtId="0" fontId="0" fillId="0" borderId="0" xfId="0"/>
    <xf numFmtId="0" fontId="6" fillId="2" borderId="0" xfId="11" applyFill="1"/>
    <xf numFmtId="0" fontId="4" fillId="2" borderId="0" xfId="9" applyFont="1" applyFill="1" applyAlignment="1">
      <alignment vertical="center"/>
    </xf>
    <xf numFmtId="0" fontId="6" fillId="0" borderId="0" xfId="11"/>
    <xf numFmtId="0" fontId="3" fillId="0" borderId="0" xfId="11" applyFont="1"/>
    <xf numFmtId="0" fontId="6" fillId="0" borderId="0" xfId="11" applyAlignment="1">
      <alignment wrapText="1"/>
    </xf>
    <xf numFmtId="167" fontId="6" fillId="0" borderId="0" xfId="11" applyNumberFormat="1"/>
    <xf numFmtId="2" fontId="6" fillId="0" borderId="0" xfId="11" applyNumberFormat="1"/>
    <xf numFmtId="168" fontId="6" fillId="0" borderId="0" xfId="11" applyNumberFormat="1"/>
    <xf numFmtId="164" fontId="6" fillId="0" borderId="0" xfId="11" applyNumberFormat="1"/>
    <xf numFmtId="0" fontId="3" fillId="0" borderId="0" xfId="11" applyFont="1" applyAlignment="1">
      <alignment horizontal="center" vertical="center"/>
    </xf>
    <xf numFmtId="0" fontId="5" fillId="0" borderId="0" xfId="11" applyFont="1" applyAlignment="1">
      <alignment horizontal="justify" vertical="center" wrapText="1"/>
    </xf>
    <xf numFmtId="167" fontId="5" fillId="0" borderId="0" xfId="11" applyNumberFormat="1" applyFont="1" applyAlignment="1">
      <alignment horizontal="right" vertical="center"/>
    </xf>
    <xf numFmtId="2" fontId="5" fillId="0" borderId="0" xfId="11" applyNumberFormat="1" applyFont="1" applyAlignment="1">
      <alignment horizontal="right" vertical="center"/>
    </xf>
    <xf numFmtId="0" fontId="5" fillId="0" borderId="0" xfId="11" applyFont="1" applyAlignment="1">
      <alignment horizontal="right" vertical="center"/>
    </xf>
    <xf numFmtId="168" fontId="5" fillId="0" borderId="0" xfId="11" applyNumberFormat="1" applyFont="1" applyAlignment="1">
      <alignment horizontal="right" vertical="center"/>
    </xf>
    <xf numFmtId="164" fontId="5" fillId="0" borderId="0" xfId="11" applyNumberFormat="1" applyFont="1" applyAlignment="1">
      <alignment horizontal="right" vertical="center"/>
    </xf>
    <xf numFmtId="0" fontId="4" fillId="0" borderId="0" xfId="9" applyFont="1" applyAlignment="1">
      <alignment vertical="center"/>
    </xf>
    <xf numFmtId="166" fontId="6" fillId="0" borderId="0" xfId="11" applyNumberFormat="1" applyAlignment="1">
      <alignment horizontal="right" vertical="center"/>
    </xf>
    <xf numFmtId="170" fontId="16" fillId="3" borderId="10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left" vertical="center" wrapText="1"/>
    </xf>
    <xf numFmtId="1" fontId="17" fillId="0" borderId="5" xfId="2" applyNumberFormat="1" applyFont="1" applyFill="1" applyBorder="1" applyAlignment="1">
      <alignment horizontal="center" vertical="top"/>
    </xf>
    <xf numFmtId="0" fontId="17" fillId="0" borderId="7" xfId="2" applyNumberFormat="1" applyFont="1" applyFill="1" applyBorder="1" applyAlignment="1">
      <alignment horizontal="left" vertical="center" wrapText="1"/>
    </xf>
    <xf numFmtId="169" fontId="17" fillId="0" borderId="7" xfId="2" applyNumberFormat="1" applyFont="1" applyFill="1" applyBorder="1" applyAlignment="1">
      <alignment horizontal="right" vertical="center"/>
    </xf>
    <xf numFmtId="9" fontId="17" fillId="0" borderId="7" xfId="2" applyNumberFormat="1" applyFont="1" applyFill="1" applyBorder="1" applyAlignment="1">
      <alignment horizontal="right" vertical="center"/>
    </xf>
    <xf numFmtId="167" fontId="17" fillId="0" borderId="7" xfId="2" applyNumberFormat="1" applyFont="1" applyFill="1" applyBorder="1" applyAlignment="1">
      <alignment horizontal="right" vertical="center"/>
    </xf>
    <xf numFmtId="0" fontId="17" fillId="0" borderId="7" xfId="2" applyNumberFormat="1" applyFont="1" applyFill="1" applyBorder="1" applyAlignment="1">
      <alignment horizontal="right" vertical="center"/>
    </xf>
    <xf numFmtId="171" fontId="17" fillId="0" borderId="7" xfId="2" applyNumberFormat="1" applyFont="1" applyFill="1" applyBorder="1" applyAlignment="1">
      <alignment horizontal="right" vertical="center"/>
    </xf>
    <xf numFmtId="172" fontId="17" fillId="0" borderId="11" xfId="2" applyNumberFormat="1" applyFont="1" applyFill="1" applyBorder="1" applyAlignment="1" applyProtection="1">
      <alignment horizontal="right" vertical="center"/>
    </xf>
    <xf numFmtId="0" fontId="18" fillId="0" borderId="9" xfId="0" applyFont="1" applyBorder="1" applyAlignment="1">
      <alignment horizontal="center" vertical="center"/>
    </xf>
    <xf numFmtId="0" fontId="17" fillId="0" borderId="0" xfId="8" applyFont="1" applyAlignment="1">
      <alignment vertical="center"/>
    </xf>
    <xf numFmtId="0" fontId="17" fillId="2" borderId="0" xfId="8" applyFont="1" applyFill="1" applyAlignment="1">
      <alignment vertical="center"/>
    </xf>
    <xf numFmtId="0" fontId="19" fillId="0" borderId="0" xfId="0" applyFont="1"/>
    <xf numFmtId="0" fontId="19" fillId="2" borderId="0" xfId="0" applyFont="1" applyFill="1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2" fillId="0" borderId="6" xfId="2" applyNumberFormat="1" applyFont="1" applyFill="1" applyBorder="1" applyAlignment="1">
      <alignment horizontal="center" vertical="center" wrapText="1"/>
    </xf>
    <xf numFmtId="167" fontId="17" fillId="0" borderId="7" xfId="12" applyNumberFormat="1" applyFont="1" applyFill="1" applyBorder="1" applyAlignment="1">
      <alignment horizontal="right" vertical="center"/>
    </xf>
    <xf numFmtId="9" fontId="17" fillId="0" borderId="7" xfId="12" applyNumberFormat="1" applyFont="1" applyFill="1" applyBorder="1" applyAlignment="1">
      <alignment horizontal="right" vertical="center"/>
    </xf>
    <xf numFmtId="172" fontId="17" fillId="0" borderId="7" xfId="2" applyNumberFormat="1" applyFont="1" applyFill="1" applyBorder="1" applyAlignment="1" applyProtection="1">
      <alignment horizontal="right" vertical="center"/>
    </xf>
    <xf numFmtId="0" fontId="17" fillId="0" borderId="7" xfId="2" applyFont="1" applyFill="1" applyBorder="1" applyAlignment="1">
      <alignment horizontal="left" vertical="center" wrapText="1"/>
    </xf>
    <xf numFmtId="171" fontId="17" fillId="0" borderId="7" xfId="1" applyNumberFormat="1" applyFont="1" applyFill="1" applyBorder="1" applyAlignment="1">
      <alignment horizontal="right" vertical="center"/>
    </xf>
    <xf numFmtId="169" fontId="17" fillId="0" borderId="7" xfId="13" applyNumberFormat="1" applyFont="1" applyFill="1" applyBorder="1" applyAlignment="1">
      <alignment horizontal="right" vertical="center"/>
    </xf>
    <xf numFmtId="0" fontId="17" fillId="0" borderId="7" xfId="13" applyNumberFormat="1" applyFont="1" applyFill="1" applyBorder="1" applyAlignment="1">
      <alignment horizontal="right" vertical="center"/>
    </xf>
    <xf numFmtId="0" fontId="17" fillId="0" borderId="12" xfId="2" applyFont="1" applyFill="1" applyBorder="1" applyAlignment="1">
      <alignment horizontal="right" vertical="center" wrapText="1"/>
    </xf>
    <xf numFmtId="168" fontId="18" fillId="0" borderId="21" xfId="0" applyNumberFormat="1" applyFont="1" applyBorder="1" applyAlignment="1">
      <alignment horizontal="center" vertical="center"/>
    </xf>
    <xf numFmtId="173" fontId="23" fillId="0" borderId="0" xfId="0" applyNumberFormat="1" applyFont="1" applyAlignment="1">
      <alignment vertical="top"/>
    </xf>
    <xf numFmtId="173" fontId="23" fillId="0" borderId="22" xfId="0" applyNumberFormat="1" applyFont="1" applyBorder="1" applyAlignment="1">
      <alignment vertical="top"/>
    </xf>
    <xf numFmtId="0" fontId="24" fillId="0" borderId="0" xfId="8" applyFont="1" applyAlignment="1">
      <alignment vertical="center"/>
    </xf>
    <xf numFmtId="0" fontId="19" fillId="0" borderId="3" xfId="0" applyFont="1" applyBorder="1"/>
    <xf numFmtId="168" fontId="24" fillId="0" borderId="21" xfId="0" applyNumberFormat="1" applyFont="1" applyBorder="1" applyAlignment="1">
      <alignment vertical="top"/>
    </xf>
    <xf numFmtId="0" fontId="18" fillId="0" borderId="0" xfId="0" applyFont="1"/>
    <xf numFmtId="0" fontId="25" fillId="0" borderId="0" xfId="0" applyFont="1" applyAlignment="1">
      <alignment horizontal="justify" vertical="center" wrapText="1"/>
    </xf>
    <xf numFmtId="0" fontId="15" fillId="3" borderId="18" xfId="0" applyFont="1" applyFill="1" applyBorder="1" applyAlignment="1">
      <alignment vertical="top"/>
    </xf>
    <xf numFmtId="174" fontId="16" fillId="3" borderId="27" xfId="0" applyNumberFormat="1" applyFont="1" applyFill="1" applyBorder="1" applyAlignment="1">
      <alignment vertical="top"/>
    </xf>
    <xf numFmtId="167" fontId="25" fillId="0" borderId="0" xfId="0" applyNumberFormat="1" applyFont="1" applyAlignment="1">
      <alignment horizontal="right" vertical="center"/>
    </xf>
    <xf numFmtId="9" fontId="19" fillId="0" borderId="0" xfId="0" applyNumberFormat="1" applyFont="1" applyAlignment="1">
      <alignment horizontal="right" vertical="center"/>
    </xf>
    <xf numFmtId="2" fontId="25" fillId="0" borderId="0" xfId="0" applyNumberFormat="1" applyFont="1" applyAlignment="1">
      <alignment horizontal="right" vertical="center"/>
    </xf>
    <xf numFmtId="168" fontId="25" fillId="0" borderId="0" xfId="0" applyNumberFormat="1" applyFont="1" applyAlignment="1">
      <alignment horizontal="right" vertical="center"/>
    </xf>
    <xf numFmtId="164" fontId="25" fillId="0" borderId="0" xfId="0" applyNumberFormat="1" applyFont="1" applyAlignment="1">
      <alignment horizontal="right" vertical="center"/>
    </xf>
    <xf numFmtId="166" fontId="19" fillId="0" borderId="0" xfId="0" applyNumberFormat="1" applyFont="1" applyAlignment="1">
      <alignment horizontal="right" vertical="center"/>
    </xf>
    <xf numFmtId="0" fontId="17" fillId="0" borderId="7" xfId="2" applyNumberFormat="1" applyFont="1" applyFill="1" applyBorder="1" applyAlignment="1">
      <alignment horizontal="right" vertical="center" wrapText="1"/>
    </xf>
    <xf numFmtId="0" fontId="16" fillId="11" borderId="4" xfId="0" applyFont="1" applyFill="1" applyBorder="1" applyAlignment="1">
      <alignment horizontal="left" vertical="center" wrapText="1"/>
    </xf>
    <xf numFmtId="0" fontId="17" fillId="0" borderId="0" xfId="2" applyFont="1" applyFill="1" applyBorder="1" applyAlignment="1">
      <alignment horizontal="left" vertical="center" wrapText="1"/>
    </xf>
    <xf numFmtId="9" fontId="17" fillId="0" borderId="7" xfId="13" applyNumberFormat="1" applyFont="1" applyFill="1" applyBorder="1" applyAlignment="1">
      <alignment horizontal="right" vertical="center"/>
    </xf>
    <xf numFmtId="167" fontId="17" fillId="0" borderId="7" xfId="13" applyNumberFormat="1" applyFont="1" applyFill="1" applyBorder="1" applyAlignment="1">
      <alignment horizontal="right" vertical="center"/>
    </xf>
    <xf numFmtId="0" fontId="16" fillId="3" borderId="0" xfId="0" applyFont="1" applyFill="1" applyAlignment="1">
      <alignment horizontal="left" vertical="center" wrapText="1"/>
    </xf>
    <xf numFmtId="0" fontId="19" fillId="0" borderId="0" xfId="11" applyFont="1"/>
    <xf numFmtId="0" fontId="19" fillId="2" borderId="0" xfId="11" applyFont="1" applyFill="1"/>
    <xf numFmtId="0" fontId="20" fillId="0" borderId="0" xfId="11" applyFont="1" applyAlignment="1">
      <alignment horizontal="left" vertical="center"/>
    </xf>
    <xf numFmtId="14" fontId="21" fillId="0" borderId="0" xfId="11" applyNumberFormat="1" applyFont="1" applyAlignment="1">
      <alignment horizontal="left" vertical="center" wrapText="1"/>
    </xf>
    <xf numFmtId="0" fontId="21" fillId="0" borderId="0" xfId="11" applyFont="1" applyAlignment="1">
      <alignment horizontal="left" vertical="center" wrapText="1"/>
    </xf>
    <xf numFmtId="0" fontId="18" fillId="0" borderId="0" xfId="11" applyFont="1" applyAlignment="1">
      <alignment horizontal="center" vertical="center"/>
    </xf>
    <xf numFmtId="0" fontId="18" fillId="0" borderId="0" xfId="11" applyFont="1" applyAlignment="1">
      <alignment horizontal="center" vertical="center" wrapText="1"/>
    </xf>
    <xf numFmtId="0" fontId="18" fillId="0" borderId="9" xfId="11" applyFont="1" applyBorder="1" applyAlignment="1">
      <alignment horizontal="center" vertical="center"/>
    </xf>
    <xf numFmtId="0" fontId="18" fillId="2" borderId="0" xfId="11" applyFont="1" applyFill="1" applyAlignment="1">
      <alignment horizontal="center" vertical="center"/>
    </xf>
    <xf numFmtId="0" fontId="18" fillId="0" borderId="3" xfId="11" applyFont="1" applyBorder="1" applyAlignment="1">
      <alignment horizontal="center" vertical="center"/>
    </xf>
    <xf numFmtId="167" fontId="16" fillId="3" borderId="4" xfId="11" applyNumberFormat="1" applyFont="1" applyFill="1" applyBorder="1" applyAlignment="1">
      <alignment horizontal="center" vertical="center"/>
    </xf>
    <xf numFmtId="0" fontId="16" fillId="3" borderId="4" xfId="11" applyFont="1" applyFill="1" applyBorder="1" applyAlignment="1">
      <alignment horizontal="center" vertical="center"/>
    </xf>
    <xf numFmtId="2" fontId="16" fillId="3" borderId="4" xfId="11" applyNumberFormat="1" applyFont="1" applyFill="1" applyBorder="1" applyAlignment="1">
      <alignment horizontal="center" vertical="center"/>
    </xf>
    <xf numFmtId="168" fontId="16" fillId="3" borderId="4" xfId="11" applyNumberFormat="1" applyFont="1" applyFill="1" applyBorder="1" applyAlignment="1">
      <alignment horizontal="center" vertical="center"/>
    </xf>
    <xf numFmtId="168" fontId="16" fillId="3" borderId="4" xfId="11" applyNumberFormat="1" applyFont="1" applyFill="1" applyBorder="1" applyAlignment="1">
      <alignment horizontal="center" vertical="center" wrapText="1"/>
    </xf>
    <xf numFmtId="0" fontId="16" fillId="3" borderId="4" xfId="11" applyFont="1" applyFill="1" applyBorder="1" applyAlignment="1">
      <alignment horizontal="center" vertical="center" wrapText="1"/>
    </xf>
    <xf numFmtId="0" fontId="16" fillId="3" borderId="1" xfId="11" applyFont="1" applyFill="1" applyBorder="1" applyAlignment="1">
      <alignment horizontal="center" vertical="center"/>
    </xf>
    <xf numFmtId="0" fontId="17" fillId="0" borderId="0" xfId="9" applyFont="1" applyAlignment="1">
      <alignment vertical="center"/>
    </xf>
    <xf numFmtId="167" fontId="18" fillId="0" borderId="0" xfId="11" applyNumberFormat="1" applyFont="1" applyAlignment="1">
      <alignment horizontal="right" vertical="center"/>
    </xf>
    <xf numFmtId="2" fontId="18" fillId="0" borderId="0" xfId="11" applyNumberFormat="1" applyFont="1" applyAlignment="1">
      <alignment horizontal="right" vertical="center"/>
    </xf>
    <xf numFmtId="0" fontId="18" fillId="0" borderId="0" xfId="11" applyFont="1" applyAlignment="1">
      <alignment horizontal="right" vertical="center"/>
    </xf>
    <xf numFmtId="168" fontId="18" fillId="0" borderId="0" xfId="11" applyNumberFormat="1" applyFont="1" applyAlignment="1">
      <alignment horizontal="right" vertical="center"/>
    </xf>
    <xf numFmtId="164" fontId="18" fillId="0" borderId="0" xfId="11" applyNumberFormat="1" applyFont="1" applyAlignment="1">
      <alignment horizontal="right" vertical="center"/>
    </xf>
    <xf numFmtId="0" fontId="17" fillId="2" borderId="0" xfId="9" applyFont="1" applyFill="1" applyAlignment="1">
      <alignment vertical="center"/>
    </xf>
    <xf numFmtId="170" fontId="16" fillId="3" borderId="10" xfId="11" applyNumberFormat="1" applyFont="1" applyFill="1" applyBorder="1" applyAlignment="1">
      <alignment horizontal="center" vertical="center"/>
    </xf>
    <xf numFmtId="1" fontId="17" fillId="0" borderId="5" xfId="17" applyNumberFormat="1" applyFont="1" applyFill="1" applyBorder="1" applyAlignment="1">
      <alignment horizontal="center" vertical="top"/>
    </xf>
    <xf numFmtId="0" fontId="17" fillId="0" borderId="6" xfId="17" applyNumberFormat="1" applyFont="1" applyFill="1" applyBorder="1" applyAlignment="1">
      <alignment horizontal="center" vertical="center" wrapText="1"/>
    </xf>
    <xf numFmtId="167" fontId="17" fillId="0" borderId="7" xfId="15" applyNumberFormat="1" applyFont="1" applyFill="1" applyBorder="1" applyAlignment="1">
      <alignment horizontal="right" vertical="center"/>
    </xf>
    <xf numFmtId="0" fontId="17" fillId="0" borderId="7" xfId="15" applyNumberFormat="1" applyFont="1" applyFill="1" applyBorder="1" applyAlignment="1">
      <alignment horizontal="right" vertical="center"/>
    </xf>
    <xf numFmtId="164" fontId="17" fillId="0" borderId="7" xfId="17" applyNumberFormat="1" applyFont="1" applyFill="1" applyBorder="1" applyAlignment="1">
      <alignment horizontal="right" vertical="center"/>
    </xf>
    <xf numFmtId="171" fontId="17" fillId="0" borderId="7" xfId="17" applyNumberFormat="1" applyFont="1" applyFill="1" applyBorder="1" applyAlignment="1">
      <alignment horizontal="right" vertical="center"/>
    </xf>
    <xf numFmtId="164" fontId="17" fillId="0" borderId="7" xfId="5" applyFont="1" applyFill="1" applyBorder="1" applyAlignment="1">
      <alignment horizontal="right" vertical="center"/>
    </xf>
    <xf numFmtId="172" fontId="17" fillId="0" borderId="7" xfId="17" applyNumberFormat="1" applyFont="1" applyFill="1" applyBorder="1" applyAlignment="1" applyProtection="1">
      <alignment horizontal="right" vertical="center"/>
    </xf>
    <xf numFmtId="172" fontId="17" fillId="0" borderId="11" xfId="17" applyNumberFormat="1" applyFont="1" applyFill="1" applyBorder="1" applyAlignment="1" applyProtection="1">
      <alignment horizontal="right" vertical="center"/>
    </xf>
    <xf numFmtId="172" fontId="17" fillId="0" borderId="6" xfId="17" applyNumberFormat="1" applyFont="1" applyFill="1" applyBorder="1" applyAlignment="1" applyProtection="1">
      <alignment horizontal="left" vertical="top"/>
    </xf>
    <xf numFmtId="0" fontId="28" fillId="0" borderId="7" xfId="17" applyFont="1" applyFill="1" applyBorder="1" applyAlignment="1">
      <alignment horizontal="left" vertical="center" wrapText="1"/>
    </xf>
    <xf numFmtId="167" fontId="17" fillId="0" borderId="7" xfId="17" applyNumberFormat="1" applyFont="1" applyFill="1" applyBorder="1" applyAlignment="1">
      <alignment horizontal="right" vertical="center"/>
    </xf>
    <xf numFmtId="0" fontId="17" fillId="0" borderId="7" xfId="17" applyNumberFormat="1" applyFont="1" applyFill="1" applyBorder="1" applyAlignment="1">
      <alignment horizontal="right" vertical="center"/>
    </xf>
    <xf numFmtId="172" fontId="29" fillId="0" borderId="11" xfId="17" applyNumberFormat="1" applyFont="1" applyFill="1" applyBorder="1" applyAlignment="1" applyProtection="1">
      <alignment horizontal="right" vertical="center"/>
    </xf>
    <xf numFmtId="175" fontId="29" fillId="0" borderId="6" xfId="17" applyNumberFormat="1" applyFont="1" applyFill="1" applyBorder="1" applyAlignment="1" applyProtection="1">
      <alignment horizontal="left" vertical="top"/>
    </xf>
    <xf numFmtId="168" fontId="17" fillId="0" borderId="7" xfId="5" applyNumberFormat="1" applyFont="1" applyFill="1" applyBorder="1" applyAlignment="1">
      <alignment horizontal="right" vertical="center"/>
    </xf>
    <xf numFmtId="171" fontId="17" fillId="0" borderId="7" xfId="5" applyNumberFormat="1" applyFont="1" applyFill="1" applyBorder="1" applyAlignment="1">
      <alignment horizontal="right" vertical="center"/>
    </xf>
    <xf numFmtId="0" fontId="17" fillId="0" borderId="32" xfId="17" applyNumberFormat="1" applyFont="1" applyFill="1" applyBorder="1" applyAlignment="1">
      <alignment horizontal="center" vertical="center" wrapText="1"/>
    </xf>
    <xf numFmtId="1" fontId="17" fillId="0" borderId="13" xfId="17" applyNumberFormat="1" applyFont="1" applyFill="1" applyBorder="1" applyAlignment="1">
      <alignment horizontal="center" vertical="top"/>
    </xf>
    <xf numFmtId="0" fontId="17" fillId="0" borderId="14" xfId="17" applyNumberFormat="1" applyFont="1" applyFill="1" applyBorder="1" applyAlignment="1">
      <alignment horizontal="center" vertical="center" wrapText="1"/>
    </xf>
    <xf numFmtId="0" fontId="17" fillId="0" borderId="15" xfId="17" applyFont="1" applyFill="1" applyBorder="1" applyAlignment="1">
      <alignment horizontal="left" vertical="center" wrapText="1"/>
    </xf>
    <xf numFmtId="167" fontId="17" fillId="0" borderId="15" xfId="17" applyNumberFormat="1" applyFont="1" applyFill="1" applyBorder="1" applyAlignment="1">
      <alignment horizontal="right" vertical="center"/>
    </xf>
    <xf numFmtId="0" fontId="17" fillId="0" borderId="15" xfId="17" applyNumberFormat="1" applyFont="1" applyFill="1" applyBorder="1" applyAlignment="1">
      <alignment horizontal="right" vertical="center"/>
    </xf>
    <xf numFmtId="164" fontId="17" fillId="0" borderId="15" xfId="17" applyNumberFormat="1" applyFont="1" applyFill="1" applyBorder="1" applyAlignment="1">
      <alignment horizontal="right" vertical="center"/>
    </xf>
    <xf numFmtId="171" fontId="17" fillId="0" borderId="15" xfId="17" applyNumberFormat="1" applyFont="1" applyFill="1" applyBorder="1" applyAlignment="1">
      <alignment horizontal="right" vertical="center"/>
    </xf>
    <xf numFmtId="164" fontId="17" fillId="0" borderId="15" xfId="5" applyFont="1" applyFill="1" applyBorder="1" applyAlignment="1">
      <alignment horizontal="right" vertical="center"/>
    </xf>
    <xf numFmtId="172" fontId="17" fillId="0" borderId="15" xfId="17" applyNumberFormat="1" applyFont="1" applyFill="1" applyBorder="1" applyAlignment="1" applyProtection="1">
      <alignment horizontal="right" vertical="center"/>
    </xf>
    <xf numFmtId="172" fontId="17" fillId="0" borderId="35" xfId="17" applyNumberFormat="1" applyFont="1" applyFill="1" applyBorder="1" applyAlignment="1" applyProtection="1">
      <alignment horizontal="right" vertical="center"/>
    </xf>
    <xf numFmtId="172" fontId="17" fillId="0" borderId="14" xfId="17" applyNumberFormat="1" applyFont="1" applyFill="1" applyBorder="1" applyAlignment="1" applyProtection="1">
      <alignment horizontal="left" vertical="top"/>
    </xf>
    <xf numFmtId="0" fontId="18" fillId="0" borderId="36" xfId="11" applyFont="1" applyBorder="1" applyAlignment="1">
      <alignment horizontal="center" vertical="center"/>
    </xf>
    <xf numFmtId="0" fontId="17" fillId="0" borderId="7" xfId="16" applyFont="1" applyFill="1" applyBorder="1" applyAlignment="1">
      <alignment horizontal="left" vertical="center" wrapText="1"/>
    </xf>
    <xf numFmtId="168" fontId="18" fillId="0" borderId="0" xfId="11" applyNumberFormat="1" applyFont="1" applyAlignment="1">
      <alignment horizontal="center" vertical="center"/>
    </xf>
    <xf numFmtId="0" fontId="16" fillId="3" borderId="33" xfId="11" applyFont="1" applyFill="1" applyBorder="1" applyAlignment="1">
      <alignment horizontal="left" vertical="top"/>
    </xf>
    <xf numFmtId="0" fontId="16" fillId="3" borderId="34" xfId="11" applyFont="1" applyFill="1" applyBorder="1" applyAlignment="1">
      <alignment vertical="top"/>
    </xf>
    <xf numFmtId="0" fontId="30" fillId="3" borderId="34" xfId="11" applyFont="1" applyFill="1" applyBorder="1" applyAlignment="1">
      <alignment vertical="top"/>
    </xf>
    <xf numFmtId="9" fontId="30" fillId="3" borderId="34" xfId="11" applyNumberFormat="1" applyFont="1" applyFill="1" applyBorder="1" applyAlignment="1">
      <alignment vertical="top"/>
    </xf>
    <xf numFmtId="171" fontId="16" fillId="3" borderId="37" xfId="5" applyNumberFormat="1" applyFont="1" applyFill="1" applyBorder="1" applyAlignment="1">
      <alignment vertical="top"/>
    </xf>
    <xf numFmtId="166" fontId="17" fillId="0" borderId="0" xfId="9" applyNumberFormat="1" applyFont="1" applyAlignment="1">
      <alignment vertical="center"/>
    </xf>
    <xf numFmtId="9" fontId="30" fillId="3" borderId="34" xfId="0" applyNumberFormat="1" applyFont="1" applyFill="1" applyBorder="1" applyAlignment="1">
      <alignment vertical="top"/>
    </xf>
    <xf numFmtId="9" fontId="16" fillId="3" borderId="34" xfId="11" applyNumberFormat="1" applyFont="1" applyFill="1" applyBorder="1" applyAlignment="1">
      <alignment horizontal="center" vertical="top"/>
    </xf>
    <xf numFmtId="164" fontId="17" fillId="0" borderId="0" xfId="9" applyNumberFormat="1" applyFont="1" applyAlignment="1">
      <alignment vertical="center"/>
    </xf>
    <xf numFmtId="171" fontId="17" fillId="0" borderId="43" xfId="2" applyNumberFormat="1" applyFont="1" applyFill="1" applyBorder="1" applyAlignment="1">
      <alignment horizontal="right" vertical="center"/>
    </xf>
    <xf numFmtId="0" fontId="22" fillId="0" borderId="44" xfId="2" applyNumberFormat="1" applyFont="1" applyFill="1" applyBorder="1" applyAlignment="1">
      <alignment horizontal="center" vertical="center" wrapText="1"/>
    </xf>
    <xf numFmtId="9" fontId="17" fillId="0" borderId="43" xfId="2" applyNumberFormat="1" applyFont="1" applyFill="1" applyBorder="1" applyAlignment="1">
      <alignment horizontal="right" vertical="center"/>
    </xf>
    <xf numFmtId="167" fontId="17" fillId="0" borderId="43" xfId="2" applyNumberFormat="1" applyFont="1" applyFill="1" applyBorder="1" applyAlignment="1">
      <alignment horizontal="right" vertical="center"/>
    </xf>
    <xf numFmtId="164" fontId="17" fillId="0" borderId="43" xfId="1" applyFont="1" applyFill="1" applyBorder="1" applyAlignment="1">
      <alignment horizontal="right" vertical="center"/>
    </xf>
    <xf numFmtId="172" fontId="17" fillId="0" borderId="43" xfId="12" applyNumberFormat="1" applyFont="1" applyFill="1" applyBorder="1" applyAlignment="1" applyProtection="1">
      <alignment horizontal="right" vertical="center"/>
    </xf>
    <xf numFmtId="172" fontId="17" fillId="0" borderId="45" xfId="2" applyNumberFormat="1" applyFont="1" applyFill="1" applyBorder="1" applyAlignment="1" applyProtection="1">
      <alignment horizontal="right" vertical="center"/>
    </xf>
    <xf numFmtId="167" fontId="17" fillId="0" borderId="43" xfId="13" applyNumberFormat="1" applyFont="1" applyFill="1" applyBorder="1" applyAlignment="1">
      <alignment horizontal="right" vertical="center"/>
    </xf>
    <xf numFmtId="9" fontId="17" fillId="0" borderId="43" xfId="13" applyNumberFormat="1" applyFont="1" applyFill="1" applyBorder="1" applyAlignment="1">
      <alignment horizontal="right" vertical="center"/>
    </xf>
    <xf numFmtId="0" fontId="17" fillId="0" borderId="43" xfId="2" applyFont="1" applyFill="1" applyBorder="1" applyAlignment="1">
      <alignment horizontal="left" vertical="center" wrapText="1"/>
    </xf>
    <xf numFmtId="9" fontId="17" fillId="0" borderId="43" xfId="12" applyNumberFormat="1" applyFont="1" applyFill="1" applyBorder="1" applyAlignment="1">
      <alignment horizontal="right" vertical="center"/>
    </xf>
    <xf numFmtId="0" fontId="16" fillId="12" borderId="42" xfId="0" applyFont="1" applyFill="1" applyBorder="1" applyAlignment="1">
      <alignment horizontal="left" vertical="center" wrapText="1"/>
    </xf>
    <xf numFmtId="0" fontId="16" fillId="3" borderId="42" xfId="0" applyFont="1" applyFill="1" applyBorder="1" applyAlignment="1">
      <alignment horizontal="left" vertical="center" wrapText="1"/>
    </xf>
    <xf numFmtId="0" fontId="22" fillId="0" borderId="41" xfId="2" applyNumberFormat="1" applyFont="1" applyFill="1" applyBorder="1" applyAlignment="1">
      <alignment horizontal="center" vertical="center" wrapText="1"/>
    </xf>
    <xf numFmtId="167" fontId="17" fillId="0" borderId="43" xfId="26" applyNumberFormat="1" applyFont="1" applyFill="1" applyBorder="1" applyAlignment="1">
      <alignment horizontal="center" vertical="center"/>
    </xf>
    <xf numFmtId="167" fontId="17" fillId="0" borderId="43" xfId="26" applyNumberFormat="1" applyFont="1" applyFill="1" applyBorder="1" applyAlignment="1">
      <alignment horizontal="right" vertical="center"/>
    </xf>
    <xf numFmtId="9" fontId="17" fillId="0" borderId="43" xfId="26" applyNumberFormat="1" applyFont="1" applyFill="1" applyBorder="1" applyAlignment="1">
      <alignment horizontal="center" vertical="center"/>
    </xf>
    <xf numFmtId="9" fontId="17" fillId="0" borderId="43" xfId="26" applyNumberFormat="1" applyFont="1" applyFill="1" applyBorder="1" applyAlignment="1">
      <alignment horizontal="right" vertical="center"/>
    </xf>
    <xf numFmtId="0" fontId="17" fillId="0" borderId="43" xfId="26" applyFont="1" applyFill="1" applyBorder="1" applyAlignment="1">
      <alignment horizontal="left" vertical="center" wrapText="1"/>
    </xf>
    <xf numFmtId="167" fontId="17" fillId="2" borderId="43" xfId="26" applyNumberFormat="1" applyFont="1" applyFill="1" applyBorder="1" applyAlignment="1">
      <alignment horizontal="right" vertical="center"/>
    </xf>
    <xf numFmtId="0" fontId="17" fillId="2" borderId="43" xfId="26" applyFont="1" applyFill="1" applyBorder="1" applyAlignment="1">
      <alignment horizontal="left" vertical="center" wrapText="1"/>
    </xf>
    <xf numFmtId="0" fontId="17" fillId="0" borderId="43" xfId="2" applyNumberFormat="1" applyFont="1" applyFill="1" applyBorder="1" applyAlignment="1">
      <alignment horizontal="center" vertical="center"/>
    </xf>
    <xf numFmtId="0" fontId="17" fillId="0" borderId="7" xfId="12" applyNumberFormat="1" applyFont="1" applyFill="1" applyBorder="1" applyAlignment="1">
      <alignment horizontal="center" vertical="center"/>
    </xf>
    <xf numFmtId="0" fontId="17" fillId="0" borderId="7" xfId="2" applyNumberFormat="1" applyFont="1" applyFill="1" applyBorder="1" applyAlignment="1">
      <alignment horizontal="center" vertical="center"/>
    </xf>
    <xf numFmtId="0" fontId="17" fillId="0" borderId="43" xfId="13" applyNumberFormat="1" applyFont="1" applyFill="1" applyBorder="1" applyAlignment="1">
      <alignment horizontal="center" vertical="center"/>
    </xf>
    <xf numFmtId="0" fontId="17" fillId="0" borderId="43" xfId="26" applyNumberFormat="1" applyFont="1" applyFill="1" applyBorder="1" applyAlignment="1">
      <alignment horizontal="center" vertical="center"/>
    </xf>
    <xf numFmtId="0" fontId="17" fillId="0" borderId="7" xfId="13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7" fontId="17" fillId="0" borderId="48" xfId="1" applyNumberFormat="1" applyFont="1" applyFill="1" applyBorder="1" applyAlignment="1">
      <alignment horizontal="center" vertical="center"/>
    </xf>
    <xf numFmtId="172" fontId="17" fillId="0" borderId="48" xfId="12" applyNumberFormat="1" applyFont="1" applyFill="1" applyBorder="1" applyAlignment="1" applyProtection="1">
      <alignment horizontal="right" vertical="center"/>
    </xf>
    <xf numFmtId="172" fontId="17" fillId="0" borderId="46" xfId="12" applyNumberFormat="1" applyFont="1" applyFill="1" applyBorder="1" applyAlignment="1" applyProtection="1">
      <alignment horizontal="right" vertical="center"/>
    </xf>
    <xf numFmtId="176" fontId="17" fillId="0" borderId="47" xfId="12" applyNumberFormat="1" applyFont="1" applyFill="1" applyBorder="1" applyAlignment="1" applyProtection="1">
      <alignment horizontal="right" vertical="center"/>
    </xf>
    <xf numFmtId="0" fontId="19" fillId="0" borderId="0" xfId="0" applyFont="1" applyAlignment="1">
      <alignment wrapText="1"/>
    </xf>
    <xf numFmtId="167" fontId="19" fillId="0" borderId="0" xfId="0" applyNumberFormat="1" applyFont="1"/>
    <xf numFmtId="2" fontId="19" fillId="0" borderId="0" xfId="0" applyNumberFormat="1" applyFont="1"/>
    <xf numFmtId="0" fontId="19" fillId="0" borderId="0" xfId="0" applyFont="1" applyAlignment="1">
      <alignment horizontal="center" vertical="center"/>
    </xf>
    <xf numFmtId="164" fontId="19" fillId="0" borderId="0" xfId="0" applyNumberFormat="1" applyFont="1"/>
    <xf numFmtId="9" fontId="24" fillId="0" borderId="53" xfId="0" applyNumberFormat="1" applyFont="1" applyBorder="1" applyAlignment="1">
      <alignment vertical="top"/>
    </xf>
    <xf numFmtId="173" fontId="23" fillId="0" borderId="55" xfId="0" applyNumberFormat="1" applyFont="1" applyBorder="1" applyAlignment="1">
      <alignment vertical="top"/>
    </xf>
    <xf numFmtId="177" fontId="0" fillId="0" borderId="0" xfId="27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177" fontId="0" fillId="0" borderId="0" xfId="0" applyNumberFormat="1" applyAlignment="1">
      <alignment horizontal="center" vertical="center"/>
    </xf>
    <xf numFmtId="170" fontId="16" fillId="3" borderId="58" xfId="0" applyNumberFormat="1" applyFont="1" applyFill="1" applyBorder="1" applyAlignment="1">
      <alignment horizontal="center" vertical="center"/>
    </xf>
    <xf numFmtId="0" fontId="16" fillId="3" borderId="60" xfId="0" applyFont="1" applyFill="1" applyBorder="1" applyAlignment="1">
      <alignment horizontal="left" vertical="center" wrapText="1"/>
    </xf>
    <xf numFmtId="0" fontId="17" fillId="0" borderId="61" xfId="2" applyNumberFormat="1" applyFont="1" applyFill="1" applyBorder="1" applyAlignment="1">
      <alignment horizontal="center" vertical="center"/>
    </xf>
    <xf numFmtId="171" fontId="17" fillId="0" borderId="61" xfId="2" applyNumberFormat="1" applyFont="1" applyFill="1" applyBorder="1" applyAlignment="1">
      <alignment horizontal="right" vertical="center"/>
    </xf>
    <xf numFmtId="176" fontId="17" fillId="0" borderId="62" xfId="12" applyNumberFormat="1" applyFont="1" applyFill="1" applyBorder="1" applyAlignment="1" applyProtection="1">
      <alignment horizontal="right" vertical="center"/>
    </xf>
    <xf numFmtId="167" fontId="17" fillId="0" borderId="64" xfId="2" applyNumberFormat="1" applyFont="1" applyFill="1" applyBorder="1" applyAlignment="1">
      <alignment horizontal="right" vertical="center"/>
    </xf>
    <xf numFmtId="9" fontId="17" fillId="0" borderId="64" xfId="2" applyNumberFormat="1" applyFont="1" applyFill="1" applyBorder="1" applyAlignment="1">
      <alignment horizontal="right" vertical="center"/>
    </xf>
    <xf numFmtId="0" fontId="17" fillId="0" borderId="64" xfId="2" applyNumberFormat="1" applyFont="1" applyFill="1" applyBorder="1" applyAlignment="1">
      <alignment horizontal="center" vertical="center"/>
    </xf>
    <xf numFmtId="171" fontId="17" fillId="0" borderId="64" xfId="2" applyNumberFormat="1" applyFont="1" applyFill="1" applyBorder="1" applyAlignment="1">
      <alignment horizontal="right" vertical="center"/>
    </xf>
    <xf numFmtId="167" fontId="17" fillId="0" borderId="65" xfId="1" applyNumberFormat="1" applyFont="1" applyFill="1" applyBorder="1" applyAlignment="1">
      <alignment horizontal="center" vertical="center"/>
    </xf>
    <xf numFmtId="172" fontId="17" fillId="0" borderId="65" xfId="12" applyNumberFormat="1" applyFont="1" applyFill="1" applyBorder="1" applyAlignment="1" applyProtection="1">
      <alignment horizontal="right" vertical="center"/>
    </xf>
    <xf numFmtId="172" fontId="17" fillId="0" borderId="66" xfId="12" applyNumberFormat="1" applyFont="1" applyFill="1" applyBorder="1" applyAlignment="1" applyProtection="1">
      <alignment horizontal="right" vertical="center"/>
    </xf>
    <xf numFmtId="172" fontId="22" fillId="0" borderId="65" xfId="12" applyNumberFormat="1" applyFont="1" applyFill="1" applyBorder="1" applyAlignment="1" applyProtection="1">
      <alignment horizontal="right" vertical="center"/>
    </xf>
    <xf numFmtId="176" fontId="17" fillId="0" borderId="67" xfId="12" applyNumberFormat="1" applyFont="1" applyFill="1" applyBorder="1" applyAlignment="1" applyProtection="1">
      <alignment horizontal="right" vertical="center"/>
    </xf>
    <xf numFmtId="0" fontId="17" fillId="0" borderId="68" xfId="17" applyNumberFormat="1" applyFont="1" applyFill="1" applyBorder="1" applyAlignment="1">
      <alignment horizontal="center" vertical="center" wrapText="1"/>
    </xf>
    <xf numFmtId="0" fontId="28" fillId="0" borderId="61" xfId="17" applyFont="1" applyFill="1" applyBorder="1" applyAlignment="1">
      <alignment horizontal="left" vertical="center" wrapText="1"/>
    </xf>
    <xf numFmtId="167" fontId="17" fillId="0" borderId="61" xfId="17" applyNumberFormat="1" applyFont="1" applyFill="1" applyBorder="1" applyAlignment="1">
      <alignment horizontal="right" vertical="center"/>
    </xf>
    <xf numFmtId="0" fontId="17" fillId="0" borderId="61" xfId="17" applyNumberFormat="1" applyFont="1" applyFill="1" applyBorder="1" applyAlignment="1">
      <alignment horizontal="right" vertical="center"/>
    </xf>
    <xf numFmtId="164" fontId="17" fillId="0" borderId="61" xfId="17" applyNumberFormat="1" applyFont="1" applyFill="1" applyBorder="1" applyAlignment="1">
      <alignment horizontal="right" vertical="center"/>
    </xf>
    <xf numFmtId="171" fontId="17" fillId="0" borderId="61" xfId="17" applyNumberFormat="1" applyFont="1" applyFill="1" applyBorder="1" applyAlignment="1">
      <alignment horizontal="right" vertical="center"/>
    </xf>
    <xf numFmtId="164" fontId="17" fillId="0" borderId="61" xfId="5" applyFont="1" applyFill="1" applyBorder="1" applyAlignment="1">
      <alignment horizontal="right" vertical="center"/>
    </xf>
    <xf numFmtId="172" fontId="17" fillId="0" borderId="61" xfId="17" applyNumberFormat="1" applyFont="1" applyFill="1" applyBorder="1" applyAlignment="1" applyProtection="1">
      <alignment horizontal="right" vertical="center"/>
    </xf>
    <xf numFmtId="172" fontId="29" fillId="0" borderId="69" xfId="17" applyNumberFormat="1" applyFont="1" applyFill="1" applyBorder="1" applyAlignment="1" applyProtection="1">
      <alignment horizontal="right" vertical="center"/>
    </xf>
    <xf numFmtId="171" fontId="16" fillId="3" borderId="10" xfId="11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27" fillId="0" borderId="0" xfId="11" applyFont="1" applyAlignment="1">
      <alignment vertical="top" wrapText="1"/>
    </xf>
    <xf numFmtId="0" fontId="24" fillId="0" borderId="0" xfId="0" applyFont="1" applyAlignment="1">
      <alignment vertical="top"/>
    </xf>
    <xf numFmtId="0" fontId="19" fillId="0" borderId="0" xfId="0" applyFont="1" applyAlignment="1">
      <alignment horizontal="left"/>
    </xf>
    <xf numFmtId="0" fontId="23" fillId="0" borderId="0" xfId="0" applyFont="1" applyAlignment="1">
      <alignment vertical="top"/>
    </xf>
    <xf numFmtId="0" fontId="18" fillId="0" borderId="75" xfId="0" applyFont="1" applyBorder="1" applyAlignment="1">
      <alignment horizontal="center" vertical="center"/>
    </xf>
    <xf numFmtId="0" fontId="18" fillId="0" borderId="76" xfId="0" applyFont="1" applyBorder="1"/>
    <xf numFmtId="0" fontId="25" fillId="0" borderId="76" xfId="0" applyFont="1" applyBorder="1" applyAlignment="1">
      <alignment horizontal="justify" vertical="center" wrapText="1"/>
    </xf>
    <xf numFmtId="0" fontId="19" fillId="0" borderId="76" xfId="0" applyFont="1" applyBorder="1"/>
    <xf numFmtId="0" fontId="24" fillId="0" borderId="76" xfId="0" applyFont="1" applyBorder="1" applyAlignment="1">
      <alignment vertical="top"/>
    </xf>
    <xf numFmtId="0" fontId="25" fillId="0" borderId="76" xfId="0" applyFont="1" applyBorder="1" applyAlignment="1">
      <alignment horizontal="center" vertical="center"/>
    </xf>
    <xf numFmtId="164" fontId="25" fillId="0" borderId="76" xfId="0" applyNumberFormat="1" applyFont="1" applyBorder="1" applyAlignment="1">
      <alignment horizontal="right" vertical="center"/>
    </xf>
    <xf numFmtId="0" fontId="22" fillId="0" borderId="59" xfId="2" applyNumberFormat="1" applyFont="1" applyFill="1" applyBorder="1" applyAlignment="1">
      <alignment horizontal="center" vertical="center" wrapText="1"/>
    </xf>
    <xf numFmtId="167" fontId="31" fillId="3" borderId="60" xfId="0" applyNumberFormat="1" applyFont="1" applyFill="1" applyBorder="1" applyAlignment="1">
      <alignment horizontal="center" vertical="center"/>
    </xf>
    <xf numFmtId="0" fontId="31" fillId="3" borderId="60" xfId="0" applyFont="1" applyFill="1" applyBorder="1" applyAlignment="1">
      <alignment horizontal="center" vertical="center"/>
    </xf>
    <xf numFmtId="168" fontId="31" fillId="14" borderId="49" xfId="0" applyNumberFormat="1" applyFont="1" applyFill="1" applyBorder="1" applyAlignment="1">
      <alignment horizontal="center" vertical="center" wrapText="1"/>
    </xf>
    <xf numFmtId="0" fontId="31" fillId="11" borderId="49" xfId="0" applyFont="1" applyFill="1" applyBorder="1" applyAlignment="1">
      <alignment horizontal="center" vertical="center" wrapText="1"/>
    </xf>
    <xf numFmtId="0" fontId="31" fillId="11" borderId="77" xfId="0" applyFont="1" applyFill="1" applyBorder="1" applyAlignment="1">
      <alignment horizontal="center" vertical="center" wrapText="1"/>
    </xf>
    <xf numFmtId="0" fontId="31" fillId="13" borderId="77" xfId="0" applyFont="1" applyFill="1" applyBorder="1" applyAlignment="1">
      <alignment horizontal="center" vertical="center" wrapText="1"/>
    </xf>
    <xf numFmtId="0" fontId="31" fillId="13" borderId="73" xfId="0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18" fillId="0" borderId="76" xfId="0" applyFont="1" applyBorder="1" applyAlignment="1">
      <alignment horizontal="center" vertical="center"/>
    </xf>
    <xf numFmtId="0" fontId="18" fillId="0" borderId="76" xfId="0" applyFont="1" applyBorder="1" applyAlignment="1">
      <alignment horizontal="center" vertical="center" wrapText="1"/>
    </xf>
    <xf numFmtId="167" fontId="18" fillId="0" borderId="76" xfId="0" applyNumberFormat="1" applyFont="1" applyBorder="1" applyAlignment="1">
      <alignment horizontal="right" vertical="center"/>
    </xf>
    <xf numFmtId="0" fontId="18" fillId="0" borderId="76" xfId="0" applyFont="1" applyBorder="1" applyAlignment="1">
      <alignment horizontal="right" vertical="center"/>
    </xf>
    <xf numFmtId="2" fontId="18" fillId="0" borderId="76" xfId="0" applyNumberFormat="1" applyFont="1" applyBorder="1" applyAlignment="1">
      <alignment horizontal="right" vertical="center"/>
    </xf>
    <xf numFmtId="164" fontId="18" fillId="0" borderId="76" xfId="0" applyNumberFormat="1" applyFont="1" applyBorder="1" applyAlignment="1">
      <alignment horizontal="right" vertical="center"/>
    </xf>
    <xf numFmtId="0" fontId="17" fillId="0" borderId="61" xfId="2" applyNumberFormat="1" applyFont="1" applyFill="1" applyBorder="1" applyAlignment="1">
      <alignment horizontal="right" vertical="center"/>
    </xf>
    <xf numFmtId="167" fontId="17" fillId="0" borderId="79" xfId="1" applyNumberFormat="1" applyFont="1" applyFill="1" applyBorder="1" applyAlignment="1">
      <alignment horizontal="center" vertical="center"/>
    </xf>
    <xf numFmtId="172" fontId="17" fillId="0" borderId="79" xfId="12" applyNumberFormat="1" applyFont="1" applyFill="1" applyBorder="1" applyAlignment="1" applyProtection="1">
      <alignment horizontal="right" vertical="center"/>
    </xf>
    <xf numFmtId="172" fontId="17" fillId="0" borderId="80" xfId="12" applyNumberFormat="1" applyFont="1" applyFill="1" applyBorder="1" applyAlignment="1" applyProtection="1">
      <alignment horizontal="right" vertical="center"/>
    </xf>
    <xf numFmtId="167" fontId="17" fillId="0" borderId="61" xfId="2" applyNumberFormat="1" applyFont="1" applyFill="1" applyBorder="1" applyAlignment="1">
      <alignment horizontal="right" vertical="center"/>
    </xf>
    <xf numFmtId="9" fontId="17" fillId="0" borderId="61" xfId="2" applyNumberFormat="1" applyFont="1" applyFill="1" applyBorder="1" applyAlignment="1">
      <alignment horizontal="right" vertical="center"/>
    </xf>
    <xf numFmtId="0" fontId="17" fillId="0" borderId="61" xfId="2" applyFont="1" applyFill="1" applyBorder="1" applyAlignment="1">
      <alignment horizontal="left" vertical="center" wrapText="1"/>
    </xf>
    <xf numFmtId="0" fontId="17" fillId="0" borderId="61" xfId="2" applyFont="1" applyFill="1" applyBorder="1" applyAlignment="1">
      <alignment horizontal="right" wrapText="1"/>
    </xf>
    <xf numFmtId="0" fontId="17" fillId="0" borderId="61" xfId="12" applyFont="1" applyFill="1" applyBorder="1" applyAlignment="1">
      <alignment horizontal="right" wrapText="1"/>
    </xf>
    <xf numFmtId="0" fontId="34" fillId="0" borderId="86" xfId="2" applyFont="1" applyFill="1" applyBorder="1" applyAlignment="1">
      <alignment horizontal="center" vertical="center" wrapText="1"/>
    </xf>
    <xf numFmtId="0" fontId="35" fillId="0" borderId="87" xfId="2" applyFont="1" applyFill="1" applyBorder="1" applyAlignment="1">
      <alignment horizontal="center" vertical="center" wrapText="1"/>
    </xf>
    <xf numFmtId="0" fontId="34" fillId="0" borderId="63" xfId="2" applyFont="1" applyFill="1" applyBorder="1" applyAlignment="1">
      <alignment horizontal="center" vertical="center" wrapText="1"/>
    </xf>
    <xf numFmtId="0" fontId="35" fillId="0" borderId="88" xfId="2" applyFont="1" applyFill="1" applyBorder="1" applyAlignment="1">
      <alignment horizontal="center" vertical="center" wrapText="1"/>
    </xf>
    <xf numFmtId="0" fontId="15" fillId="3" borderId="4" xfId="1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7" fillId="0" borderId="71" xfId="2" applyFont="1" applyFill="1" applyBorder="1" applyAlignment="1">
      <alignment horizontal="left" vertical="center" wrapText="1"/>
    </xf>
    <xf numFmtId="167" fontId="17" fillId="0" borderId="71" xfId="2" applyNumberFormat="1" applyFont="1" applyFill="1" applyBorder="1" applyAlignment="1">
      <alignment horizontal="right" vertical="center"/>
    </xf>
    <xf numFmtId="9" fontId="17" fillId="0" borderId="71" xfId="2" applyNumberFormat="1" applyFont="1" applyFill="1" applyBorder="1" applyAlignment="1">
      <alignment horizontal="right" vertical="center"/>
    </xf>
    <xf numFmtId="0" fontId="17" fillId="0" borderId="71" xfId="2" applyNumberFormat="1" applyFont="1" applyFill="1" applyBorder="1" applyAlignment="1">
      <alignment horizontal="center" vertical="center"/>
    </xf>
    <xf numFmtId="171" fontId="17" fillId="0" borderId="71" xfId="2" applyNumberFormat="1" applyFont="1" applyFill="1" applyBorder="1" applyAlignment="1">
      <alignment horizontal="right" vertical="center"/>
    </xf>
    <xf numFmtId="167" fontId="17" fillId="0" borderId="96" xfId="1" applyNumberFormat="1" applyFont="1" applyFill="1" applyBorder="1" applyAlignment="1">
      <alignment horizontal="center" vertical="center"/>
    </xf>
    <xf numFmtId="172" fontId="17" fillId="0" borderId="96" xfId="12" applyNumberFormat="1" applyFont="1" applyFill="1" applyBorder="1" applyAlignment="1" applyProtection="1">
      <alignment horizontal="right" vertical="center"/>
    </xf>
    <xf numFmtId="172" fontId="17" fillId="0" borderId="82" xfId="12" applyNumberFormat="1" applyFont="1" applyFill="1" applyBorder="1" applyAlignment="1" applyProtection="1">
      <alignment horizontal="right" vertical="center"/>
    </xf>
    <xf numFmtId="176" fontId="17" fillId="0" borderId="97" xfId="12" applyNumberFormat="1" applyFont="1" applyFill="1" applyBorder="1" applyAlignment="1" applyProtection="1">
      <alignment horizontal="right" vertical="center"/>
    </xf>
    <xf numFmtId="0" fontId="22" fillId="0" borderId="78" xfId="2" applyNumberFormat="1" applyFont="1" applyFill="1" applyBorder="1" applyAlignment="1">
      <alignment horizontal="center" vertical="center" wrapText="1"/>
    </xf>
    <xf numFmtId="0" fontId="17" fillId="0" borderId="79" xfId="2" applyFont="1" applyFill="1" applyBorder="1" applyAlignment="1">
      <alignment horizontal="left" vertical="center" wrapText="1"/>
    </xf>
    <xf numFmtId="167" fontId="17" fillId="0" borderId="79" xfId="2" applyNumberFormat="1" applyFont="1" applyFill="1" applyBorder="1" applyAlignment="1">
      <alignment horizontal="right" vertical="center"/>
    </xf>
    <xf numFmtId="9" fontId="17" fillId="0" borderId="79" xfId="2" applyNumberFormat="1" applyFont="1" applyFill="1" applyBorder="1" applyAlignment="1">
      <alignment horizontal="right" vertical="center"/>
    </xf>
    <xf numFmtId="0" fontId="17" fillId="0" borderId="79" xfId="2" applyNumberFormat="1" applyFont="1" applyFill="1" applyBorder="1" applyAlignment="1">
      <alignment horizontal="center" vertical="center"/>
    </xf>
    <xf numFmtId="171" fontId="17" fillId="0" borderId="79" xfId="12" applyNumberFormat="1" applyFont="1" applyFill="1" applyBorder="1" applyAlignment="1">
      <alignment horizontal="right" vertical="center"/>
    </xf>
    <xf numFmtId="176" fontId="17" fillId="0" borderId="98" xfId="12" applyNumberFormat="1" applyFont="1" applyFill="1" applyBorder="1" applyAlignment="1" applyProtection="1">
      <alignment horizontal="right" vertical="center"/>
    </xf>
    <xf numFmtId="164" fontId="15" fillId="3" borderId="100" xfId="1" applyFont="1" applyFill="1" applyBorder="1" applyAlignment="1">
      <alignment vertical="center"/>
    </xf>
    <xf numFmtId="0" fontId="15" fillId="3" borderId="100" xfId="0" applyFont="1" applyFill="1" applyBorder="1" applyAlignment="1">
      <alignment vertical="center"/>
    </xf>
    <xf numFmtId="170" fontId="16" fillId="3" borderId="101" xfId="0" applyNumberFormat="1" applyFont="1" applyFill="1" applyBorder="1" applyAlignment="1">
      <alignment horizontal="center" vertical="center"/>
    </xf>
    <xf numFmtId="1" fontId="17" fillId="0" borderId="70" xfId="2" applyNumberFormat="1" applyFont="1" applyFill="1" applyBorder="1" applyAlignment="1">
      <alignment horizontal="center" vertical="top"/>
    </xf>
    <xf numFmtId="1" fontId="17" fillId="0" borderId="103" xfId="2" applyNumberFormat="1" applyFont="1" applyFill="1" applyBorder="1" applyAlignment="1">
      <alignment horizontal="center" vertical="top"/>
    </xf>
    <xf numFmtId="172" fontId="22" fillId="0" borderId="79" xfId="12" applyNumberFormat="1" applyFont="1" applyFill="1" applyBorder="1" applyAlignment="1" applyProtection="1">
      <alignment horizontal="right" vertical="center"/>
    </xf>
    <xf numFmtId="0" fontId="22" fillId="0" borderId="68" xfId="2" applyNumberFormat="1" applyFont="1" applyFill="1" applyBorder="1" applyAlignment="1">
      <alignment horizontal="center" vertical="center" wrapText="1"/>
    </xf>
    <xf numFmtId="0" fontId="17" fillId="0" borderId="61" xfId="26" applyFont="1" applyFill="1" applyBorder="1" applyAlignment="1">
      <alignment horizontal="left" vertical="center" wrapText="1"/>
    </xf>
    <xf numFmtId="167" fontId="17" fillId="0" borderId="61" xfId="26" applyNumberFormat="1" applyFont="1" applyFill="1" applyBorder="1" applyAlignment="1">
      <alignment horizontal="right" vertical="center"/>
    </xf>
    <xf numFmtId="9" fontId="17" fillId="0" borderId="61" xfId="26" applyNumberFormat="1" applyFont="1" applyFill="1" applyBorder="1" applyAlignment="1">
      <alignment horizontal="right" vertical="center"/>
    </xf>
    <xf numFmtId="0" fontId="17" fillId="0" borderId="61" xfId="26" applyNumberFormat="1" applyFont="1" applyFill="1" applyBorder="1" applyAlignment="1">
      <alignment horizontal="center" vertical="center"/>
    </xf>
    <xf numFmtId="169" fontId="17" fillId="0" borderId="61" xfId="2" applyNumberFormat="1" applyFont="1" applyFill="1" applyBorder="1" applyAlignment="1">
      <alignment horizontal="right" vertical="center"/>
    </xf>
    <xf numFmtId="169" fontId="17" fillId="0" borderId="61" xfId="13" applyNumberFormat="1" applyFont="1" applyFill="1" applyBorder="1" applyAlignment="1">
      <alignment horizontal="right" vertical="center"/>
    </xf>
    <xf numFmtId="0" fontId="17" fillId="0" borderId="61" xfId="13" applyNumberFormat="1" applyFont="1" applyFill="1" applyBorder="1" applyAlignment="1">
      <alignment horizontal="right" vertical="center"/>
    </xf>
    <xf numFmtId="0" fontId="17" fillId="0" borderId="61" xfId="13" applyNumberFormat="1" applyFont="1" applyFill="1" applyBorder="1" applyAlignment="1">
      <alignment horizontal="center" vertical="center"/>
    </xf>
    <xf numFmtId="167" fontId="17" fillId="0" borderId="0" xfId="2" applyNumberFormat="1" applyFont="1" applyFill="1" applyBorder="1" applyAlignment="1">
      <alignment horizontal="right" vertical="center"/>
    </xf>
    <xf numFmtId="9" fontId="17" fillId="0" borderId="0" xfId="2" applyNumberFormat="1" applyFont="1" applyFill="1" applyBorder="1" applyAlignment="1">
      <alignment horizontal="right" vertical="center"/>
    </xf>
    <xf numFmtId="0" fontId="17" fillId="0" borderId="0" xfId="2" applyNumberFormat="1" applyFont="1" applyFill="1" applyBorder="1" applyAlignment="1">
      <alignment horizontal="center" vertical="center"/>
    </xf>
    <xf numFmtId="171" fontId="17" fillId="0" borderId="0" xfId="2" applyNumberFormat="1" applyFont="1" applyFill="1" applyBorder="1" applyAlignment="1">
      <alignment horizontal="right" vertical="center"/>
    </xf>
    <xf numFmtId="167" fontId="17" fillId="0" borderId="0" xfId="1" applyNumberFormat="1" applyFont="1" applyFill="1" applyBorder="1" applyAlignment="1">
      <alignment horizontal="center" vertical="center"/>
    </xf>
    <xf numFmtId="172" fontId="17" fillId="0" borderId="0" xfId="12" applyNumberFormat="1" applyFont="1" applyFill="1" applyBorder="1" applyAlignment="1" applyProtection="1">
      <alignment horizontal="right" vertical="center"/>
    </xf>
    <xf numFmtId="171" fontId="15" fillId="3" borderId="101" xfId="1" applyNumberFormat="1" applyFont="1" applyFill="1" applyBorder="1" applyAlignment="1">
      <alignment horizontal="center" vertical="center"/>
    </xf>
    <xf numFmtId="164" fontId="17" fillId="0" borderId="61" xfId="1" applyFont="1" applyFill="1" applyBorder="1" applyAlignment="1">
      <alignment horizontal="right" vertical="center"/>
    </xf>
    <xf numFmtId="171" fontId="22" fillId="0" borderId="79" xfId="12" applyNumberFormat="1" applyFont="1" applyFill="1" applyBorder="1" applyAlignment="1" applyProtection="1">
      <alignment horizontal="right" vertical="center"/>
    </xf>
    <xf numFmtId="0" fontId="38" fillId="0" borderId="61" xfId="13" applyFont="1" applyFill="1" applyBorder="1" applyAlignment="1">
      <alignment horizontal="left" vertical="center" wrapText="1"/>
    </xf>
    <xf numFmtId="167" fontId="17" fillId="0" borderId="61" xfId="13" applyNumberFormat="1" applyFont="1" applyFill="1" applyBorder="1" applyAlignment="1">
      <alignment horizontal="right" vertical="center"/>
    </xf>
    <xf numFmtId="9" fontId="17" fillId="0" borderId="61" xfId="13" applyNumberFormat="1" applyFont="1" applyFill="1" applyBorder="1" applyAlignment="1">
      <alignment horizontal="right" vertical="center"/>
    </xf>
    <xf numFmtId="164" fontId="22" fillId="0" borderId="61" xfId="1" applyFont="1" applyFill="1" applyBorder="1" applyAlignment="1">
      <alignment horizontal="center" vertical="center"/>
    </xf>
    <xf numFmtId="164" fontId="22" fillId="0" borderId="79" xfId="1" applyFont="1" applyFill="1" applyBorder="1" applyAlignment="1">
      <alignment horizontal="center" vertical="center"/>
    </xf>
    <xf numFmtId="0" fontId="17" fillId="0" borderId="61" xfId="13" applyFont="1" applyFill="1" applyBorder="1" applyAlignment="1">
      <alignment horizontal="left" vertical="center" wrapText="1"/>
    </xf>
    <xf numFmtId="0" fontId="16" fillId="3" borderId="53" xfId="0" applyFont="1" applyFill="1" applyBorder="1" applyAlignment="1">
      <alignment horizontal="left" vertical="center" wrapText="1"/>
    </xf>
    <xf numFmtId="0" fontId="22" fillId="0" borderId="8" xfId="2" applyNumberFormat="1" applyFont="1" applyFill="1" applyBorder="1" applyAlignment="1">
      <alignment vertical="center" wrapText="1"/>
    </xf>
    <xf numFmtId="0" fontId="22" fillId="0" borderId="78" xfId="2" applyNumberFormat="1" applyFont="1" applyFill="1" applyBorder="1" applyAlignment="1">
      <alignment vertical="center" wrapText="1"/>
    </xf>
    <xf numFmtId="164" fontId="17" fillId="0" borderId="61" xfId="1" applyFont="1" applyFill="1" applyBorder="1" applyAlignment="1">
      <alignment horizontal="center" vertical="center"/>
    </xf>
    <xf numFmtId="2" fontId="17" fillId="0" borderId="61" xfId="12" applyNumberFormat="1" applyFont="1" applyFill="1" applyBorder="1" applyAlignment="1">
      <alignment horizontal="center" vertical="center"/>
    </xf>
    <xf numFmtId="176" fontId="17" fillId="0" borderId="0" xfId="12" applyNumberFormat="1" applyFont="1" applyFill="1" applyBorder="1" applyAlignment="1" applyProtection="1">
      <alignment horizontal="right" vertical="center"/>
    </xf>
    <xf numFmtId="167" fontId="17" fillId="0" borderId="61" xfId="12" applyNumberFormat="1" applyFont="1" applyFill="1" applyBorder="1" applyAlignment="1">
      <alignment horizontal="right" vertical="center"/>
    </xf>
    <xf numFmtId="9" fontId="17" fillId="0" borderId="61" xfId="12" applyNumberFormat="1" applyFont="1" applyFill="1" applyBorder="1" applyAlignment="1">
      <alignment horizontal="right" vertical="center"/>
    </xf>
    <xf numFmtId="0" fontId="17" fillId="0" borderId="61" xfId="12" applyNumberFormat="1" applyFont="1" applyFill="1" applyBorder="1" applyAlignment="1">
      <alignment horizontal="center" vertical="center"/>
    </xf>
    <xf numFmtId="0" fontId="17" fillId="0" borderId="61" xfId="2" applyNumberFormat="1" applyFont="1" applyFill="1" applyBorder="1" applyAlignment="1">
      <alignment horizontal="left" vertical="center" wrapText="1"/>
    </xf>
    <xf numFmtId="171" fontId="17" fillId="0" borderId="61" xfId="12" applyNumberFormat="1" applyFont="1" applyFill="1" applyBorder="1" applyAlignment="1">
      <alignment horizontal="right" vertical="center"/>
    </xf>
    <xf numFmtId="0" fontId="17" fillId="0" borderId="68" xfId="2" applyNumberFormat="1" applyFont="1" applyFill="1" applyBorder="1" applyAlignment="1">
      <alignment horizontal="center" vertical="center" wrapText="1"/>
    </xf>
    <xf numFmtId="171" fontId="17" fillId="0" borderId="61" xfId="1" applyNumberFormat="1" applyFont="1" applyFill="1" applyBorder="1" applyAlignment="1">
      <alignment horizontal="right" vertical="center"/>
    </xf>
    <xf numFmtId="172" fontId="17" fillId="0" borderId="61" xfId="2" applyNumberFormat="1" applyFont="1" applyFill="1" applyBorder="1" applyAlignment="1" applyProtection="1">
      <alignment horizontal="right" vertical="center"/>
    </xf>
    <xf numFmtId="172" fontId="17" fillId="0" borderId="69" xfId="2" applyNumberFormat="1" applyFont="1" applyFill="1" applyBorder="1" applyAlignment="1" applyProtection="1">
      <alignment horizontal="right" vertical="center"/>
    </xf>
    <xf numFmtId="172" fontId="17" fillId="0" borderId="61" xfId="12" applyNumberFormat="1" applyFont="1" applyFill="1" applyBorder="1" applyAlignment="1" applyProtection="1">
      <alignment horizontal="right" vertical="center"/>
    </xf>
    <xf numFmtId="1" fontId="17" fillId="0" borderId="103" xfId="2" applyNumberFormat="1" applyFont="1" applyFill="1" applyBorder="1" applyAlignment="1">
      <alignment horizontal="center" vertical="center"/>
    </xf>
    <xf numFmtId="167" fontId="17" fillId="2" borderId="61" xfId="26" applyNumberFormat="1" applyFont="1" applyFill="1" applyBorder="1" applyAlignment="1">
      <alignment horizontal="right" vertical="center"/>
    </xf>
    <xf numFmtId="0" fontId="16" fillId="11" borderId="60" xfId="0" applyFont="1" applyFill="1" applyBorder="1" applyAlignment="1">
      <alignment horizontal="left" vertical="center" wrapText="1"/>
    </xf>
    <xf numFmtId="0" fontId="22" fillId="0" borderId="61" xfId="2" applyFont="1" applyFill="1" applyBorder="1" applyAlignment="1">
      <alignment horizontal="left" vertical="center" wrapText="1"/>
    </xf>
    <xf numFmtId="0" fontId="17" fillId="0" borderId="51" xfId="2" applyFont="1" applyFill="1" applyBorder="1" applyAlignment="1">
      <alignment horizontal="left" vertical="center" wrapText="1"/>
    </xf>
    <xf numFmtId="0" fontId="39" fillId="0" borderId="51" xfId="2" applyFont="1" applyFill="1" applyBorder="1" applyAlignment="1">
      <alignment horizontal="left" vertical="center" wrapText="1"/>
    </xf>
    <xf numFmtId="0" fontId="17" fillId="0" borderId="51" xfId="2" applyFont="1" applyFill="1" applyBorder="1" applyAlignment="1">
      <alignment horizontal="right" vertical="center" wrapText="1"/>
    </xf>
    <xf numFmtId="0" fontId="22" fillId="0" borderId="8" xfId="2" applyNumberFormat="1" applyFont="1" applyFill="1" applyBorder="1" applyAlignment="1">
      <alignment horizontal="center" vertical="center" wrapText="1"/>
    </xf>
    <xf numFmtId="0" fontId="39" fillId="0" borderId="7" xfId="2" applyFont="1" applyFill="1" applyBorder="1" applyAlignment="1">
      <alignment horizontal="left" vertical="center" wrapText="1"/>
    </xf>
    <xf numFmtId="164" fontId="31" fillId="14" borderId="49" xfId="1" applyFont="1" applyFill="1" applyBorder="1" applyAlignment="1">
      <alignment horizontal="center" vertical="center"/>
    </xf>
    <xf numFmtId="164" fontId="18" fillId="0" borderId="0" xfId="1" applyFont="1" applyAlignment="1">
      <alignment horizontal="center" vertical="center"/>
    </xf>
    <xf numFmtId="164" fontId="18" fillId="0" borderId="76" xfId="1" applyFont="1" applyBorder="1" applyAlignment="1">
      <alignment horizontal="right" vertical="center"/>
    </xf>
    <xf numFmtId="164" fontId="17" fillId="0" borderId="7" xfId="1" applyFont="1" applyFill="1" applyBorder="1" applyAlignment="1">
      <alignment horizontal="right" vertical="center"/>
    </xf>
    <xf numFmtId="164" fontId="22" fillId="0" borderId="43" xfId="1" applyFont="1" applyFill="1" applyBorder="1" applyAlignment="1">
      <alignment horizontal="center" vertical="center"/>
    </xf>
    <xf numFmtId="164" fontId="22" fillId="0" borderId="71" xfId="1" applyFont="1" applyFill="1" applyBorder="1" applyAlignment="1">
      <alignment horizontal="center" vertical="center"/>
    </xf>
    <xf numFmtId="164" fontId="22" fillId="0" borderId="0" xfId="1" applyFont="1" applyFill="1" applyBorder="1" applyAlignment="1">
      <alignment horizontal="center" vertical="center"/>
    </xf>
    <xf numFmtId="164" fontId="17" fillId="0" borderId="64" xfId="1" applyFont="1" applyFill="1" applyBorder="1" applyAlignment="1">
      <alignment horizontal="right" vertical="center"/>
    </xf>
    <xf numFmtId="164" fontId="25" fillId="0" borderId="0" xfId="1" applyFont="1" applyAlignment="1">
      <alignment horizontal="right" vertical="center"/>
    </xf>
    <xf numFmtId="164" fontId="25" fillId="0" borderId="76" xfId="1" applyFont="1" applyBorder="1" applyAlignment="1">
      <alignment horizontal="right" vertical="center"/>
    </xf>
    <xf numFmtId="164" fontId="19" fillId="0" borderId="0" xfId="1" applyFont="1"/>
    <xf numFmtId="164" fontId="31" fillId="11" borderId="49" xfId="1" applyFont="1" applyFill="1" applyBorder="1" applyAlignment="1">
      <alignment horizontal="center" vertical="center" wrapText="1"/>
    </xf>
    <xf numFmtId="164" fontId="21" fillId="0" borderId="0" xfId="1" applyFont="1" applyAlignment="1">
      <alignment horizontal="left" vertical="center" wrapText="1"/>
    </xf>
    <xf numFmtId="164" fontId="22" fillId="0" borderId="48" xfId="1" applyFont="1" applyFill="1" applyBorder="1" applyAlignment="1">
      <alignment horizontal="center" vertical="center"/>
    </xf>
    <xf numFmtId="164" fontId="22" fillId="0" borderId="96" xfId="1" applyFont="1" applyFill="1" applyBorder="1" applyAlignment="1">
      <alignment horizontal="center" vertical="center"/>
    </xf>
    <xf numFmtId="171" fontId="22" fillId="0" borderId="48" xfId="12" applyNumberFormat="1" applyFont="1" applyFill="1" applyBorder="1" applyAlignment="1" applyProtection="1">
      <alignment horizontal="right" vertical="center"/>
    </xf>
    <xf numFmtId="171" fontId="22" fillId="0" borderId="96" xfId="12" applyNumberFormat="1" applyFont="1" applyFill="1" applyBorder="1" applyAlignment="1" applyProtection="1">
      <alignment horizontal="right" vertical="center"/>
    </xf>
    <xf numFmtId="171" fontId="17" fillId="0" borderId="79" xfId="12" applyNumberFormat="1" applyFont="1" applyFill="1" applyBorder="1" applyAlignment="1" applyProtection="1">
      <alignment horizontal="right" vertical="center"/>
    </xf>
    <xf numFmtId="171" fontId="22" fillId="0" borderId="0" xfId="12" applyNumberFormat="1" applyFont="1" applyFill="1" applyBorder="1" applyAlignment="1" applyProtection="1">
      <alignment horizontal="right" vertical="center"/>
    </xf>
    <xf numFmtId="171" fontId="22" fillId="0" borderId="65" xfId="12" applyNumberFormat="1" applyFont="1" applyFill="1" applyBorder="1" applyAlignment="1" applyProtection="1">
      <alignment horizontal="right" vertical="center"/>
    </xf>
    <xf numFmtId="174" fontId="23" fillId="0" borderId="54" xfId="0" applyNumberFormat="1" applyFont="1" applyBorder="1" applyAlignment="1">
      <alignment vertical="top"/>
    </xf>
    <xf numFmtId="0" fontId="26" fillId="15" borderId="74" xfId="11" applyFont="1" applyFill="1" applyBorder="1" applyAlignment="1">
      <alignment horizontal="left" vertical="top" wrapText="1"/>
    </xf>
    <xf numFmtId="0" fontId="26" fillId="15" borderId="0" xfId="11" applyFont="1" applyFill="1" applyAlignment="1">
      <alignment horizontal="left" vertical="top" wrapText="1"/>
    </xf>
    <xf numFmtId="0" fontId="37" fillId="3" borderId="16" xfId="11" applyFont="1" applyFill="1" applyBorder="1" applyAlignment="1">
      <alignment horizontal="center" vertical="center"/>
    </xf>
    <xf numFmtId="0" fontId="37" fillId="3" borderId="17" xfId="11" applyFont="1" applyFill="1" applyBorder="1" applyAlignment="1">
      <alignment horizontal="center" vertical="center"/>
    </xf>
    <xf numFmtId="0" fontId="37" fillId="3" borderId="2" xfId="11" applyFont="1" applyFill="1" applyBorder="1" applyAlignment="1">
      <alignment horizontal="center" vertical="center"/>
    </xf>
    <xf numFmtId="14" fontId="21" fillId="0" borderId="0" xfId="11" applyNumberFormat="1" applyFont="1" applyAlignment="1">
      <alignment horizontal="left" vertical="center" wrapText="1"/>
    </xf>
    <xf numFmtId="0" fontId="21" fillId="0" borderId="0" xfId="11" applyFont="1" applyAlignment="1">
      <alignment horizontal="left" vertical="center" wrapText="1"/>
    </xf>
    <xf numFmtId="0" fontId="21" fillId="0" borderId="17" xfId="11" applyFont="1" applyBorder="1" applyAlignment="1">
      <alignment horizontal="left" vertical="center" wrapText="1"/>
    </xf>
    <xf numFmtId="0" fontId="37" fillId="3" borderId="1" xfId="11" applyFont="1" applyFill="1" applyBorder="1" applyAlignment="1">
      <alignment horizontal="center" vertical="center"/>
    </xf>
    <xf numFmtId="0" fontId="21" fillId="0" borderId="28" xfId="11" applyFont="1" applyBorder="1" applyAlignment="1">
      <alignment horizontal="center" vertical="center" wrapText="1"/>
    </xf>
    <xf numFmtId="0" fontId="21" fillId="0" borderId="31" xfId="11" applyFont="1" applyBorder="1" applyAlignment="1">
      <alignment horizontal="center" vertical="center" wrapText="1"/>
    </xf>
    <xf numFmtId="0" fontId="20" fillId="0" borderId="28" xfId="11" applyFont="1" applyBorder="1" applyAlignment="1">
      <alignment horizontal="center" vertical="center" wrapText="1"/>
    </xf>
    <xf numFmtId="0" fontId="20" fillId="0" borderId="31" xfId="11" applyFont="1" applyBorder="1" applyAlignment="1">
      <alignment horizontal="center" vertical="center" wrapText="1"/>
    </xf>
    <xf numFmtId="0" fontId="20" fillId="0" borderId="23" xfId="11" applyFont="1" applyBorder="1" applyAlignment="1">
      <alignment horizontal="center" vertical="center" wrapText="1"/>
    </xf>
    <xf numFmtId="0" fontId="20" fillId="0" borderId="25" xfId="11" applyFont="1" applyBorder="1" applyAlignment="1">
      <alignment horizontal="center" vertical="center" wrapText="1"/>
    </xf>
    <xf numFmtId="0" fontId="20" fillId="0" borderId="29" xfId="11" applyFont="1" applyBorder="1" applyAlignment="1">
      <alignment horizontal="center" vertical="center" wrapText="1"/>
    </xf>
    <xf numFmtId="0" fontId="20" fillId="0" borderId="30" xfId="11" applyFont="1" applyBorder="1" applyAlignment="1">
      <alignment horizontal="center" vertical="center" wrapText="1"/>
    </xf>
    <xf numFmtId="0" fontId="20" fillId="0" borderId="23" xfId="11" applyFont="1" applyBorder="1" applyAlignment="1">
      <alignment horizontal="center" vertical="center"/>
    </xf>
    <xf numFmtId="0" fontId="20" fillId="0" borderId="25" xfId="11" applyFont="1" applyBorder="1" applyAlignment="1">
      <alignment horizontal="center" vertical="center"/>
    </xf>
    <xf numFmtId="0" fontId="20" fillId="0" borderId="29" xfId="11" applyFont="1" applyBorder="1" applyAlignment="1">
      <alignment horizontal="center" vertical="center"/>
    </xf>
    <xf numFmtId="0" fontId="20" fillId="0" borderId="30" xfId="11" applyFont="1" applyBorder="1" applyAlignment="1">
      <alignment horizontal="center" vertical="center"/>
    </xf>
    <xf numFmtId="0" fontId="27" fillId="0" borderId="85" xfId="11" applyFont="1" applyBorder="1" applyAlignment="1">
      <alignment horizontal="center" vertical="center"/>
    </xf>
    <xf numFmtId="0" fontId="15" fillId="3" borderId="99" xfId="0" applyFont="1" applyFill="1" applyBorder="1" applyAlignment="1">
      <alignment horizontal="center" vertical="center"/>
    </xf>
    <xf numFmtId="0" fontId="15" fillId="3" borderId="100" xfId="0" applyFont="1" applyFill="1" applyBorder="1" applyAlignment="1">
      <alignment horizontal="center" vertical="center"/>
    </xf>
    <xf numFmtId="0" fontId="22" fillId="0" borderId="59" xfId="2" applyNumberFormat="1" applyFont="1" applyFill="1" applyBorder="1" applyAlignment="1">
      <alignment horizontal="center" vertical="center" wrapText="1"/>
    </xf>
    <xf numFmtId="0" fontId="22" fillId="0" borderId="8" xfId="2" applyNumberFormat="1" applyFont="1" applyFill="1" applyBorder="1" applyAlignment="1">
      <alignment horizontal="center" vertical="center" wrapText="1"/>
    </xf>
    <xf numFmtId="0" fontId="22" fillId="0" borderId="78" xfId="2" applyNumberFormat="1" applyFont="1" applyFill="1" applyBorder="1" applyAlignment="1">
      <alignment horizontal="center" vertical="center" wrapText="1"/>
    </xf>
    <xf numFmtId="0" fontId="22" fillId="0" borderId="59" xfId="2" applyNumberFormat="1" applyFont="1" applyFill="1" applyBorder="1" applyAlignment="1">
      <alignment horizontal="center" vertical="center"/>
    </xf>
    <xf numFmtId="0" fontId="22" fillId="0" borderId="78" xfId="2" applyNumberFormat="1" applyFont="1" applyFill="1" applyBorder="1" applyAlignment="1">
      <alignment horizontal="center" vertical="center"/>
    </xf>
    <xf numFmtId="174" fontId="36" fillId="0" borderId="95" xfId="2" applyNumberFormat="1" applyFont="1" applyFill="1" applyBorder="1" applyAlignment="1">
      <alignment horizontal="center" vertical="center" wrapText="1"/>
    </xf>
    <xf numFmtId="0" fontId="36" fillId="0" borderId="67" xfId="2" applyFont="1" applyFill="1" applyBorder="1" applyAlignment="1">
      <alignment horizontal="center" vertical="center" wrapText="1"/>
    </xf>
    <xf numFmtId="0" fontId="33" fillId="16" borderId="16" xfId="0" applyFont="1" applyFill="1" applyBorder="1" applyAlignment="1">
      <alignment horizontal="center" vertical="center"/>
    </xf>
    <xf numFmtId="0" fontId="33" fillId="16" borderId="17" xfId="0" applyFont="1" applyFill="1" applyBorder="1" applyAlignment="1">
      <alignment horizontal="center" vertical="center"/>
    </xf>
    <xf numFmtId="0" fontId="33" fillId="16" borderId="26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14" fontId="21" fillId="0" borderId="0" xfId="0" applyNumberFormat="1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34" fillId="0" borderId="89" xfId="2" applyFont="1" applyFill="1" applyBorder="1" applyAlignment="1">
      <alignment horizontal="center" vertical="center" wrapText="1"/>
    </xf>
    <xf numFmtId="0" fontId="34" fillId="0" borderId="90" xfId="2" applyFont="1" applyFill="1" applyBorder="1" applyAlignment="1">
      <alignment horizontal="center" vertical="center" wrapText="1"/>
    </xf>
    <xf numFmtId="174" fontId="36" fillId="0" borderId="91" xfId="2" applyNumberFormat="1" applyFont="1" applyFill="1" applyBorder="1" applyAlignment="1">
      <alignment horizontal="center" vertical="center" wrapText="1"/>
    </xf>
    <xf numFmtId="0" fontId="36" fillId="0" borderId="92" xfId="2" applyFont="1" applyFill="1" applyBorder="1" applyAlignment="1">
      <alignment horizontal="center" vertical="center" wrapText="1"/>
    </xf>
    <xf numFmtId="0" fontId="34" fillId="0" borderId="93" xfId="2" applyFont="1" applyFill="1" applyBorder="1" applyAlignment="1">
      <alignment horizontal="center" vertical="center" wrapText="1"/>
    </xf>
    <xf numFmtId="0" fontId="34" fillId="0" borderId="94" xfId="2" applyFont="1" applyFill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top"/>
    </xf>
    <xf numFmtId="0" fontId="23" fillId="0" borderId="26" xfId="0" applyFont="1" applyBorder="1" applyAlignment="1">
      <alignment horizontal="center" vertical="top"/>
    </xf>
    <xf numFmtId="0" fontId="16" fillId="3" borderId="19" xfId="0" applyFont="1" applyFill="1" applyBorder="1" applyAlignment="1">
      <alignment horizontal="center" vertical="top"/>
    </xf>
    <xf numFmtId="0" fontId="16" fillId="3" borderId="20" xfId="0" applyFont="1" applyFill="1" applyBorder="1" applyAlignment="1">
      <alignment horizontal="center" vertical="top"/>
    </xf>
    <xf numFmtId="0" fontId="23" fillId="0" borderId="3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3" fillId="0" borderId="52" xfId="0" applyFont="1" applyBorder="1" applyAlignment="1">
      <alignment horizontal="center" vertical="top"/>
    </xf>
    <xf numFmtId="0" fontId="23" fillId="0" borderId="50" xfId="0" applyFont="1" applyBorder="1" applyAlignment="1">
      <alignment horizontal="center" vertical="top"/>
    </xf>
    <xf numFmtId="0" fontId="23" fillId="0" borderId="53" xfId="0" applyFont="1" applyBorder="1" applyAlignment="1">
      <alignment horizontal="center" vertical="top"/>
    </xf>
    <xf numFmtId="0" fontId="15" fillId="3" borderId="23" xfId="0" applyFont="1" applyFill="1" applyBorder="1" applyAlignment="1">
      <alignment horizontal="center" vertical="top"/>
    </xf>
    <xf numFmtId="0" fontId="15" fillId="3" borderId="24" xfId="0" applyFont="1" applyFill="1" applyBorder="1" applyAlignment="1">
      <alignment horizontal="center" vertical="top"/>
    </xf>
    <xf numFmtId="0" fontId="15" fillId="3" borderId="25" xfId="0" applyFont="1" applyFill="1" applyBorder="1" applyAlignment="1">
      <alignment horizontal="center" vertical="top"/>
    </xf>
    <xf numFmtId="0" fontId="15" fillId="3" borderId="18" xfId="0" applyFont="1" applyFill="1" applyBorder="1" applyAlignment="1">
      <alignment horizontal="left" vertical="center"/>
    </xf>
    <xf numFmtId="0" fontId="15" fillId="3" borderId="19" xfId="0" applyFont="1" applyFill="1" applyBorder="1" applyAlignment="1">
      <alignment horizontal="left" vertical="center"/>
    </xf>
    <xf numFmtId="0" fontId="15" fillId="3" borderId="102" xfId="0" applyFont="1" applyFill="1" applyBorder="1" applyAlignment="1">
      <alignment horizontal="left" vertical="center"/>
    </xf>
    <xf numFmtId="0" fontId="22" fillId="0" borderId="104" xfId="2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top"/>
    </xf>
    <xf numFmtId="0" fontId="15" fillId="3" borderId="56" xfId="0" applyFont="1" applyFill="1" applyBorder="1" applyAlignment="1">
      <alignment horizontal="center" vertical="top"/>
    </xf>
    <xf numFmtId="0" fontId="15" fillId="3" borderId="57" xfId="0" applyFont="1" applyFill="1" applyBorder="1" applyAlignment="1">
      <alignment horizontal="center" vertical="top"/>
    </xf>
    <xf numFmtId="0" fontId="15" fillId="3" borderId="75" xfId="0" applyFont="1" applyFill="1" applyBorder="1" applyAlignment="1">
      <alignment horizontal="center" vertical="center"/>
    </xf>
    <xf numFmtId="0" fontId="15" fillId="3" borderId="76" xfId="0" applyFont="1" applyFill="1" applyBorder="1" applyAlignment="1">
      <alignment horizontal="center" vertical="center"/>
    </xf>
    <xf numFmtId="167" fontId="17" fillId="0" borderId="72" xfId="2" applyNumberFormat="1" applyFont="1" applyFill="1" applyBorder="1" applyAlignment="1">
      <alignment horizontal="center" vertical="top" wrapText="1"/>
    </xf>
    <xf numFmtId="167" fontId="17" fillId="0" borderId="81" xfId="2" applyNumberFormat="1" applyFont="1" applyFill="1" applyBorder="1" applyAlignment="1">
      <alignment horizontal="center" vertical="top" wrapText="1"/>
    </xf>
    <xf numFmtId="167" fontId="17" fillId="0" borderId="82" xfId="2" applyNumberFormat="1" applyFont="1" applyFill="1" applyBorder="1" applyAlignment="1">
      <alignment horizontal="center" vertical="top" wrapText="1"/>
    </xf>
    <xf numFmtId="167" fontId="17" fillId="0" borderId="83" xfId="2" applyNumberFormat="1" applyFont="1" applyFill="1" applyBorder="1" applyAlignment="1">
      <alignment horizontal="center" vertical="top" wrapText="1"/>
    </xf>
    <xf numFmtId="167" fontId="17" fillId="0" borderId="80" xfId="2" applyNumberFormat="1" applyFont="1" applyFill="1" applyBorder="1" applyAlignment="1">
      <alignment horizontal="center" vertical="top" wrapText="1"/>
    </xf>
    <xf numFmtId="167" fontId="17" fillId="0" borderId="84" xfId="2" applyNumberFormat="1" applyFont="1" applyFill="1" applyBorder="1" applyAlignment="1">
      <alignment horizontal="center" vertical="top" wrapText="1"/>
    </xf>
    <xf numFmtId="0" fontId="22" fillId="0" borderId="105" xfId="2" applyNumberFormat="1" applyFont="1" applyFill="1" applyBorder="1" applyAlignment="1">
      <alignment horizontal="center" vertical="center" wrapText="1"/>
    </xf>
    <xf numFmtId="0" fontId="22" fillId="0" borderId="0" xfId="2" applyNumberFormat="1" applyFont="1" applyFill="1" applyBorder="1" applyAlignment="1">
      <alignment horizontal="center" vertical="center" wrapText="1"/>
    </xf>
    <xf numFmtId="0" fontId="22" fillId="0" borderId="106" xfId="2" applyNumberFormat="1" applyFont="1" applyFill="1" applyBorder="1" applyAlignment="1">
      <alignment horizontal="center" vertical="center" wrapText="1"/>
    </xf>
  </cellXfs>
  <cellStyles count="28">
    <cellStyle name="Comma" xfId="27" builtinId="3"/>
    <cellStyle name="Currency" xfId="1" builtinId="4"/>
    <cellStyle name="Currency 2" xfId="3" xr:uid="{00000000-0005-0000-0000-000002000000}"/>
    <cellStyle name="Currency 2 2" xfId="4" xr:uid="{00000000-0005-0000-0000-000003000000}"/>
    <cellStyle name="Currency 2 2 2" xfId="5" xr:uid="{00000000-0005-0000-0000-000004000000}"/>
    <cellStyle name="Normal" xfId="0" builtinId="0"/>
    <cellStyle name="Normal 2" xfId="6" xr:uid="{00000000-0005-0000-0000-000006000000}"/>
    <cellStyle name="Normal 2 2" xfId="7" xr:uid="{00000000-0005-0000-0000-000007000000}"/>
    <cellStyle name="Normal 2 3" xfId="8" xr:uid="{00000000-0005-0000-0000-000008000000}"/>
    <cellStyle name="Normal 2 3 2" xfId="9" xr:uid="{00000000-0005-0000-0000-000009000000}"/>
    <cellStyle name="Normal 2 3 3" xfId="10" xr:uid="{00000000-0005-0000-0000-00000A000000}"/>
    <cellStyle name="Normal 3 2" xfId="11" xr:uid="{00000000-0005-0000-0000-00000B000000}"/>
    <cellStyle name="Note" xfId="2" builtinId="10"/>
    <cellStyle name="Note 2" xfId="12" xr:uid="{00000000-0005-0000-0000-00000D000000}"/>
    <cellStyle name="Note 2 2" xfId="13" xr:uid="{00000000-0005-0000-0000-00000E000000}"/>
    <cellStyle name="Note 2 2 2" xfId="14" xr:uid="{00000000-0005-0000-0000-00000F000000}"/>
    <cellStyle name="Note 2 2 2 2" xfId="15" xr:uid="{00000000-0005-0000-0000-000010000000}"/>
    <cellStyle name="Note 3" xfId="16" xr:uid="{00000000-0005-0000-0000-000011000000}"/>
    <cellStyle name="Note 3 2" xfId="17" xr:uid="{00000000-0005-0000-0000-000012000000}"/>
    <cellStyle name="Note 4" xfId="26" xr:uid="{00000000-0005-0000-0000-000013000000}"/>
    <cellStyle name="Style 1" xfId="18" xr:uid="{00000000-0005-0000-0000-000014000000}"/>
    <cellStyle name="Style 1 2" xfId="19" xr:uid="{00000000-0005-0000-0000-000015000000}"/>
    <cellStyle name="Style 2" xfId="20" xr:uid="{00000000-0005-0000-0000-000016000000}"/>
    <cellStyle name="Style 2 2" xfId="21" xr:uid="{00000000-0005-0000-0000-000017000000}"/>
    <cellStyle name="Style 3" xfId="22" xr:uid="{00000000-0005-0000-0000-000018000000}"/>
    <cellStyle name="Style 3 2" xfId="23" xr:uid="{00000000-0005-0000-0000-000019000000}"/>
    <cellStyle name="Style 4" xfId="24" xr:uid="{00000000-0005-0000-0000-00001A000000}"/>
    <cellStyle name="Style 4 2" xfId="25" xr:uid="{00000000-0005-0000-0000-00001B000000}"/>
  </cellStyles>
  <dxfs count="0"/>
  <tableStyles count="0" defaultTableStyle="TableStyleMedium2" defaultPivotStyle="PivotStyleLight16"/>
  <colors>
    <mruColors>
      <color rgb="FFECE3FD"/>
      <color rgb="FF4A909A"/>
      <color rgb="FFEC6B0A"/>
      <color rgb="FFAAD2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BX382"/>
  <sheetViews>
    <sheetView showGridLines="0" tabSelected="1" zoomScale="70" zoomScaleNormal="70" zoomScaleSheetLayoutView="160" zoomScalePageLayoutView="10" workbookViewId="0">
      <pane ySplit="7" topLeftCell="A8" activePane="bottomLeft" state="frozen"/>
      <selection pane="bottomLeft" activeCell="C2" sqref="C2:C3"/>
    </sheetView>
  </sheetViews>
  <sheetFormatPr defaultColWidth="9" defaultRowHeight="14.4"/>
  <cols>
    <col min="1" max="1" width="9.44140625" style="3" customWidth="1"/>
    <col min="2" max="2" width="16.44140625" style="4" customWidth="1"/>
    <col min="3" max="3" width="79.44140625" style="5" customWidth="1"/>
    <col min="4" max="4" width="11.5546875" style="6" customWidth="1"/>
    <col min="5" max="5" width="0.44140625" style="7" customWidth="1"/>
    <col min="6" max="6" width="10.44140625" style="3" hidden="1" customWidth="1"/>
    <col min="7" max="7" width="12.5546875" style="8" hidden="1" customWidth="1"/>
    <col min="8" max="8" width="14.5546875" style="9" hidden="1" customWidth="1"/>
    <col min="9" max="9" width="12.44140625" style="3" hidden="1" customWidth="1"/>
    <col min="10" max="10" width="14" style="3" customWidth="1"/>
    <col min="11" max="11" width="23.44140625" style="3" customWidth="1"/>
    <col min="12" max="12" width="20.44140625" style="3" customWidth="1"/>
    <col min="13" max="13" width="22" style="3" customWidth="1"/>
    <col min="14" max="15" width="9.5546875" style="3" customWidth="1"/>
    <col min="16" max="16384" width="9" style="3"/>
  </cols>
  <sheetData>
    <row r="1" spans="1:76" s="70" customFormat="1" ht="25.35" customHeight="1" thickBot="1">
      <c r="A1" s="339" t="s">
        <v>0</v>
      </c>
      <c r="B1" s="340"/>
      <c r="C1" s="340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</row>
    <row r="2" spans="1:76" s="77" customFormat="1" ht="18.600000000000001" customHeight="1">
      <c r="A2" s="350" t="s">
        <v>413</v>
      </c>
      <c r="B2" s="351"/>
      <c r="C2" s="346" t="s">
        <v>414</v>
      </c>
      <c r="D2" s="71"/>
      <c r="E2" s="342"/>
      <c r="F2" s="343"/>
      <c r="G2" s="344"/>
      <c r="H2" s="344"/>
      <c r="I2" s="74"/>
      <c r="J2" s="74"/>
      <c r="K2" s="74"/>
      <c r="L2" s="75"/>
      <c r="M2" s="76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</row>
    <row r="3" spans="1:76" s="77" customFormat="1" ht="18.600000000000001" customHeight="1" thickBot="1">
      <c r="A3" s="352"/>
      <c r="B3" s="353"/>
      <c r="C3" s="347"/>
      <c r="D3" s="71"/>
      <c r="E3" s="72"/>
      <c r="F3" s="73"/>
      <c r="G3" s="73"/>
      <c r="H3" s="73"/>
      <c r="I3" s="74"/>
      <c r="J3" s="74"/>
      <c r="K3" s="74"/>
      <c r="L3" s="75"/>
      <c r="M3" s="76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</row>
    <row r="4" spans="1:76" s="77" customFormat="1" ht="18.600000000000001" customHeight="1">
      <c r="A4" s="350" t="s">
        <v>1</v>
      </c>
      <c r="B4" s="351"/>
      <c r="C4" s="346" t="str">
        <f>ESTIMATE!C5</f>
        <v>1435 EDWIN PLACE PLAINFIELD, NJ</v>
      </c>
      <c r="D4" s="71"/>
      <c r="E4" s="343"/>
      <c r="F4" s="343"/>
      <c r="G4" s="343"/>
      <c r="H4" s="343"/>
      <c r="I4" s="74"/>
      <c r="J4" s="354" t="s">
        <v>2</v>
      </c>
      <c r="K4" s="355"/>
      <c r="L4" s="348">
        <v>2634</v>
      </c>
      <c r="M4" s="358" t="s">
        <v>3</v>
      </c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</row>
    <row r="5" spans="1:76" s="77" customFormat="1" ht="18.600000000000001" customHeight="1" thickBot="1">
      <c r="A5" s="352"/>
      <c r="B5" s="353"/>
      <c r="C5" s="347"/>
      <c r="D5" s="71"/>
      <c r="E5" s="73"/>
      <c r="F5" s="73"/>
      <c r="G5" s="73"/>
      <c r="H5" s="73"/>
      <c r="I5" s="74"/>
      <c r="J5" s="356"/>
      <c r="K5" s="357"/>
      <c r="L5" s="349"/>
      <c r="M5" s="358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</row>
    <row r="6" spans="1:76" s="77" customFormat="1" ht="15">
      <c r="A6" s="78"/>
      <c r="B6" s="74"/>
      <c r="C6" s="75"/>
      <c r="D6" s="74"/>
      <c r="E6" s="74"/>
      <c r="F6" s="74"/>
      <c r="G6" s="74"/>
      <c r="H6" s="74"/>
      <c r="I6" s="74"/>
      <c r="J6" s="74"/>
      <c r="K6" s="74"/>
      <c r="L6" s="75"/>
      <c r="M6" s="76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</row>
    <row r="7" spans="1:76" s="70" customFormat="1" ht="30.75" customHeight="1">
      <c r="A7" s="79" t="s">
        <v>4</v>
      </c>
      <c r="B7" s="80" t="s">
        <v>5</v>
      </c>
      <c r="C7" s="80" t="s">
        <v>6</v>
      </c>
      <c r="D7" s="79"/>
      <c r="E7" s="81"/>
      <c r="F7" s="80"/>
      <c r="G7" s="82"/>
      <c r="H7" s="83"/>
      <c r="I7" s="84"/>
      <c r="J7" s="84"/>
      <c r="K7" s="85" t="s">
        <v>7</v>
      </c>
      <c r="L7" s="80" t="s">
        <v>8</v>
      </c>
      <c r="M7" s="201">
        <f>M35/L4</f>
        <v>135.18123939970911</v>
      </c>
      <c r="N7" s="86"/>
      <c r="O7" s="86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</row>
    <row r="8" spans="1:76" s="70" customFormat="1" ht="16.8">
      <c r="A8" s="74"/>
      <c r="B8" s="74"/>
      <c r="C8" s="75"/>
      <c r="D8" s="87"/>
      <c r="E8" s="88"/>
      <c r="F8" s="89"/>
      <c r="G8" s="90"/>
      <c r="H8" s="91"/>
      <c r="I8" s="89"/>
      <c r="J8" s="89"/>
      <c r="K8" s="89"/>
      <c r="L8" s="75"/>
      <c r="M8" s="74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</row>
    <row r="9" spans="1:76" s="70" customFormat="1" ht="21" customHeight="1">
      <c r="A9" s="345" t="s">
        <v>9</v>
      </c>
      <c r="B9" s="341"/>
      <c r="C9" s="341"/>
      <c r="D9" s="341"/>
      <c r="E9" s="341"/>
      <c r="F9" s="341"/>
      <c r="G9" s="341"/>
      <c r="H9" s="341"/>
      <c r="I9" s="341"/>
      <c r="J9" s="341"/>
      <c r="K9" s="341"/>
      <c r="L9" s="341"/>
      <c r="M9" s="93">
        <f>SUM(K10:K28)</f>
        <v>284853.90766306705</v>
      </c>
      <c r="N9" s="86"/>
      <c r="O9" s="86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</row>
    <row r="10" spans="1:76" s="70" customFormat="1" ht="16.8">
      <c r="A10" s="94"/>
      <c r="B10" s="95"/>
      <c r="C10" s="75"/>
      <c r="D10" s="96"/>
      <c r="E10" s="96"/>
      <c r="F10" s="97"/>
      <c r="G10" s="98"/>
      <c r="H10" s="99"/>
      <c r="I10" s="100"/>
      <c r="J10" s="101"/>
      <c r="K10" s="102"/>
      <c r="L10" s="103"/>
      <c r="M10" s="7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</row>
    <row r="11" spans="1:76" s="70" customFormat="1" ht="21" customHeight="1">
      <c r="A11" s="94"/>
      <c r="B11" s="95"/>
      <c r="C11" s="243" t="s">
        <v>10</v>
      </c>
      <c r="D11" s="96"/>
      <c r="E11" s="96"/>
      <c r="F11" s="97"/>
      <c r="G11" s="98"/>
      <c r="H11" s="99"/>
      <c r="I11" s="100"/>
      <c r="J11" s="101"/>
      <c r="K11" s="102"/>
      <c r="L11" s="103"/>
      <c r="M11" s="7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</row>
    <row r="12" spans="1:76" s="92" customFormat="1" ht="24">
      <c r="A12" s="94">
        <f>IF(C12&lt;&gt;"",1+MAX($A$2:A11),"")</f>
        <v>1</v>
      </c>
      <c r="B12" s="95"/>
      <c r="C12" s="104" t="s">
        <v>11</v>
      </c>
      <c r="D12" s="105"/>
      <c r="E12" s="105"/>
      <c r="F12" s="106"/>
      <c r="G12" s="98"/>
      <c r="H12" s="99"/>
      <c r="I12" s="100"/>
      <c r="J12" s="101"/>
      <c r="K12" s="107">
        <f>ESTIMATE!O7</f>
        <v>16200</v>
      </c>
      <c r="L12" s="108">
        <f>K12/$L$4</f>
        <v>6.1503416856492024</v>
      </c>
      <c r="M12" s="7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</row>
    <row r="13" spans="1:76" s="92" customFormat="1" ht="24">
      <c r="A13" s="94">
        <f>IF(C13&lt;&gt;"",1+MAX($A$2:A12),"")</f>
        <v>2</v>
      </c>
      <c r="B13" s="95"/>
      <c r="C13" s="104" t="s">
        <v>12</v>
      </c>
      <c r="D13" s="105"/>
      <c r="E13" s="105"/>
      <c r="F13" s="106"/>
      <c r="G13" s="98"/>
      <c r="H13" s="99"/>
      <c r="I13" s="109"/>
      <c r="J13" s="101"/>
      <c r="K13" s="107">
        <f>ESTIMATE!O24</f>
        <v>15986.482057200001</v>
      </c>
      <c r="L13" s="108">
        <f t="shared" ref="L13:L27" si="0">K13/$L$4</f>
        <v>6.0692794446469254</v>
      </c>
      <c r="M13" s="7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</row>
    <row r="14" spans="1:76" s="92" customFormat="1" ht="24">
      <c r="A14" s="94">
        <f>IF(C14&lt;&gt;"",1+MAX($A$2:A13),"")</f>
        <v>3</v>
      </c>
      <c r="B14" s="95"/>
      <c r="C14" s="104" t="s">
        <v>13</v>
      </c>
      <c r="D14" s="105"/>
      <c r="E14" s="105"/>
      <c r="F14" s="106"/>
      <c r="G14" s="98"/>
      <c r="H14" s="99"/>
      <c r="I14" s="100"/>
      <c r="J14" s="101"/>
      <c r="K14" s="107">
        <f>ESTIMATE!O53</f>
        <v>4067.5402040755594</v>
      </c>
      <c r="L14" s="108">
        <f t="shared" si="0"/>
        <v>1.544244572541974</v>
      </c>
      <c r="M14" s="7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</row>
    <row r="15" spans="1:76" s="92" customFormat="1" ht="24">
      <c r="A15" s="94">
        <f>IF(C15&lt;&gt;"",1+MAX($A$2:A14),"")</f>
        <v>4</v>
      </c>
      <c r="B15" s="192"/>
      <c r="C15" s="193" t="s">
        <v>119</v>
      </c>
      <c r="D15" s="194"/>
      <c r="E15" s="194"/>
      <c r="F15" s="195"/>
      <c r="G15" s="196"/>
      <c r="H15" s="197"/>
      <c r="I15" s="198"/>
      <c r="J15" s="199"/>
      <c r="K15" s="200">
        <f>ESTIMATE!O70</f>
        <v>4083.2656289017614</v>
      </c>
      <c r="L15" s="108">
        <f t="shared" si="0"/>
        <v>1.5502147414205625</v>
      </c>
      <c r="M15" s="7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</row>
    <row r="16" spans="1:76" s="92" customFormat="1" ht="24">
      <c r="A16" s="94">
        <f>IF(C16&lt;&gt;"",1+MAX($A$2:A15),"")</f>
        <v>5</v>
      </c>
      <c r="B16" s="95"/>
      <c r="C16" s="104" t="s">
        <v>14</v>
      </c>
      <c r="D16" s="105"/>
      <c r="E16" s="105"/>
      <c r="F16" s="106"/>
      <c r="G16" s="98"/>
      <c r="H16" s="99"/>
      <c r="I16" s="100"/>
      <c r="J16" s="101"/>
      <c r="K16" s="107">
        <f>ESTIMATE!O87</f>
        <v>4554.896594672241</v>
      </c>
      <c r="L16" s="108">
        <f t="shared" si="0"/>
        <v>1.729269777779894</v>
      </c>
      <c r="M16" s="7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</row>
    <row r="17" spans="1:76" s="92" customFormat="1" ht="24">
      <c r="A17" s="94">
        <f>IF(C17&lt;&gt;"",1+MAX($A$2:A16),"")</f>
        <v>6</v>
      </c>
      <c r="B17" s="95"/>
      <c r="C17" s="104" t="s">
        <v>15</v>
      </c>
      <c r="D17" s="105"/>
      <c r="E17" s="105"/>
      <c r="F17" s="106"/>
      <c r="G17" s="98"/>
      <c r="H17" s="99"/>
      <c r="I17" s="100"/>
      <c r="J17" s="101"/>
      <c r="K17" s="107">
        <f>ESTIMATE!O108</f>
        <v>50811.968609876203</v>
      </c>
      <c r="L17" s="108">
        <f t="shared" si="0"/>
        <v>19.290800535260516</v>
      </c>
      <c r="M17" s="7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</row>
    <row r="18" spans="1:76" s="92" customFormat="1" ht="24">
      <c r="A18" s="94">
        <f>IF(C18&lt;&gt;"",1+MAX($A$2:A17),"")</f>
        <v>7</v>
      </c>
      <c r="B18" s="95"/>
      <c r="C18" s="104" t="s">
        <v>16</v>
      </c>
      <c r="D18" s="105"/>
      <c r="E18" s="105"/>
      <c r="F18" s="106"/>
      <c r="G18" s="98"/>
      <c r="H18" s="99"/>
      <c r="I18" s="100"/>
      <c r="J18" s="101"/>
      <c r="K18" s="107">
        <f>ESTIMATE!O173</f>
        <v>17214.634666034999</v>
      </c>
      <c r="L18" s="108">
        <f t="shared" si="0"/>
        <v>6.5355484685022773</v>
      </c>
      <c r="M18" s="7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</row>
    <row r="19" spans="1:76" s="92" customFormat="1" ht="24">
      <c r="A19" s="94">
        <f>IF(C19&lt;&gt;"",1+MAX($A$2:A18),"")</f>
        <v>8</v>
      </c>
      <c r="B19" s="95"/>
      <c r="C19" s="104" t="s">
        <v>17</v>
      </c>
      <c r="D19" s="105"/>
      <c r="E19" s="105"/>
      <c r="F19" s="106"/>
      <c r="G19" s="98"/>
      <c r="H19" s="99"/>
      <c r="I19" s="100"/>
      <c r="J19" s="101"/>
      <c r="K19" s="107">
        <f>ESTIMATE!O206</f>
        <v>28838.512998535996</v>
      </c>
      <c r="L19" s="108">
        <f t="shared" si="0"/>
        <v>10.94856226216249</v>
      </c>
      <c r="M19" s="7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</row>
    <row r="20" spans="1:76" s="92" customFormat="1" ht="24">
      <c r="A20" s="94">
        <f>IF(C20&lt;&gt;"",1+MAX($A$2:A19),"")</f>
        <v>9</v>
      </c>
      <c r="B20" s="95"/>
      <c r="C20" s="104" t="s">
        <v>18</v>
      </c>
      <c r="D20" s="105"/>
      <c r="E20" s="105"/>
      <c r="F20" s="106"/>
      <c r="G20" s="98"/>
      <c r="H20" s="99"/>
      <c r="I20" s="110"/>
      <c r="J20" s="101"/>
      <c r="K20" s="107">
        <f>ESTIMATE!O227</f>
        <v>44881.42548184091</v>
      </c>
      <c r="L20" s="108">
        <f t="shared" si="0"/>
        <v>17.039265558785463</v>
      </c>
      <c r="M20" s="7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</row>
    <row r="21" spans="1:76" s="92" customFormat="1" ht="24">
      <c r="A21" s="94">
        <f>IF(C21&lt;&gt;"",1+MAX($A$2:A20),"")</f>
        <v>10</v>
      </c>
      <c r="B21" s="111"/>
      <c r="C21" s="104" t="s">
        <v>19</v>
      </c>
      <c r="D21" s="105"/>
      <c r="E21" s="105"/>
      <c r="F21" s="106"/>
      <c r="G21" s="98"/>
      <c r="H21" s="99"/>
      <c r="I21" s="110"/>
      <c r="J21" s="101"/>
      <c r="K21" s="107">
        <f>ESTIMATE!O292</f>
        <v>3837.9343155012798</v>
      </c>
      <c r="L21" s="108">
        <f t="shared" si="0"/>
        <v>1.4570745313216704</v>
      </c>
      <c r="M21" s="7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</row>
    <row r="22" spans="1:76" s="92" customFormat="1" ht="24">
      <c r="A22" s="94">
        <f>IF(C22&lt;&gt;"",1+MAX($A$2:A21),"")</f>
        <v>11</v>
      </c>
      <c r="B22" s="111"/>
      <c r="C22" s="104" t="s">
        <v>20</v>
      </c>
      <c r="D22" s="105"/>
      <c r="E22" s="105"/>
      <c r="F22" s="106"/>
      <c r="G22" s="98"/>
      <c r="H22" s="99"/>
      <c r="I22" s="110"/>
      <c r="J22" s="101"/>
      <c r="K22" s="107">
        <f>ESTIMATE!O305</f>
        <v>3347.8971919999999</v>
      </c>
      <c r="L22" s="108">
        <f t="shared" si="0"/>
        <v>1.2710315839028095</v>
      </c>
      <c r="M22" s="7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</row>
    <row r="23" spans="1:76" s="92" customFormat="1" ht="24">
      <c r="A23" s="94">
        <f>IF(C23&lt;&gt;"",1+MAX($A$2:A22),"")</f>
        <v>12</v>
      </c>
      <c r="B23" s="111"/>
      <c r="C23" s="104" t="s">
        <v>21</v>
      </c>
      <c r="D23" s="105"/>
      <c r="E23" s="105"/>
      <c r="F23" s="106"/>
      <c r="G23" s="98"/>
      <c r="H23" s="99"/>
      <c r="I23" s="110"/>
      <c r="J23" s="101"/>
      <c r="K23" s="107">
        <f>ESTIMATE!O314</f>
        <v>1941.7393558205999</v>
      </c>
      <c r="L23" s="108">
        <f t="shared" si="0"/>
        <v>0.73718274708451026</v>
      </c>
      <c r="M23" s="7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</row>
    <row r="24" spans="1:76" s="92" customFormat="1" ht="24">
      <c r="A24" s="94">
        <f>IF(C24&lt;&gt;"",1+MAX($A$2:A23),"")</f>
        <v>13</v>
      </c>
      <c r="B24" s="111"/>
      <c r="C24" s="104" t="s">
        <v>22</v>
      </c>
      <c r="D24" s="105"/>
      <c r="E24" s="105"/>
      <c r="F24" s="106"/>
      <c r="G24" s="98"/>
      <c r="H24" s="99"/>
      <c r="I24" s="110"/>
      <c r="J24" s="101"/>
      <c r="K24" s="107">
        <f>ESTIMATE!O321</f>
        <v>26924.734311173423</v>
      </c>
      <c r="L24" s="108">
        <f t="shared" si="0"/>
        <v>10.221994803027115</v>
      </c>
      <c r="M24" s="7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86"/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</row>
    <row r="25" spans="1:76" s="92" customFormat="1" ht="24">
      <c r="A25" s="94">
        <f>IF(C25&lt;&gt;"",1+MAX($A$2:A24),"")</f>
        <v>14</v>
      </c>
      <c r="B25" s="111"/>
      <c r="C25" s="104" t="s">
        <v>23</v>
      </c>
      <c r="D25" s="105"/>
      <c r="E25" s="105"/>
      <c r="F25" s="106"/>
      <c r="G25" s="98"/>
      <c r="H25" s="99"/>
      <c r="I25" s="110"/>
      <c r="J25" s="101"/>
      <c r="K25" s="107">
        <f>ESTIMATE!O350</f>
        <v>23658.691168800004</v>
      </c>
      <c r="L25" s="108">
        <f t="shared" si="0"/>
        <v>8.9820391681093401</v>
      </c>
      <c r="M25" s="7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6"/>
      <c r="BC25" s="86"/>
      <c r="BD25" s="86"/>
      <c r="BE25" s="86"/>
      <c r="BF25" s="86"/>
      <c r="BG25" s="86"/>
      <c r="BH25" s="86"/>
      <c r="BI25" s="86"/>
      <c r="BJ25" s="86"/>
      <c r="BK25" s="86"/>
      <c r="BL25" s="86"/>
      <c r="BM25" s="86"/>
      <c r="BN25" s="86"/>
      <c r="BO25" s="86"/>
    </row>
    <row r="26" spans="1:76" s="92" customFormat="1" ht="24">
      <c r="A26" s="94">
        <f>IF(C26&lt;&gt;"",1+MAX($A$2:A25),"")</f>
        <v>15</v>
      </c>
      <c r="B26" s="111"/>
      <c r="C26" s="104" t="s">
        <v>24</v>
      </c>
      <c r="D26" s="105"/>
      <c r="E26" s="105"/>
      <c r="F26" s="106"/>
      <c r="G26" s="98"/>
      <c r="H26" s="99"/>
      <c r="I26" s="110"/>
      <c r="J26" s="101"/>
      <c r="K26" s="107">
        <f>ESTIMATE!O362</f>
        <v>35277.35629856</v>
      </c>
      <c r="L26" s="108">
        <f t="shared" si="0"/>
        <v>13.39307376558846</v>
      </c>
      <c r="M26" s="7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6"/>
      <c r="BM26" s="86"/>
      <c r="BN26" s="86"/>
      <c r="BO26" s="86"/>
    </row>
    <row r="27" spans="1:76" s="92" customFormat="1" ht="24">
      <c r="A27" s="94">
        <f>IF(C27&lt;&gt;"",1+MAX($A$2:A26),"")</f>
        <v>16</v>
      </c>
      <c r="B27" s="111"/>
      <c r="C27" s="104" t="s">
        <v>25</v>
      </c>
      <c r="D27" s="105"/>
      <c r="E27" s="105"/>
      <c r="F27" s="106"/>
      <c r="G27" s="98"/>
      <c r="H27" s="99"/>
      <c r="I27" s="110"/>
      <c r="J27" s="101"/>
      <c r="K27" s="107">
        <f>ESTIMATE!O385</f>
        <v>3226.8287800740745</v>
      </c>
      <c r="L27" s="108">
        <f t="shared" si="0"/>
        <v>1.225067873984083</v>
      </c>
      <c r="M27" s="7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6"/>
      <c r="BM27" s="86"/>
      <c r="BN27" s="86"/>
      <c r="BO27" s="86"/>
    </row>
    <row r="28" spans="1:76" s="92" customFormat="1" ht="16.8">
      <c r="A28" s="112"/>
      <c r="B28" s="113"/>
      <c r="C28" s="114"/>
      <c r="D28" s="115"/>
      <c r="E28" s="115"/>
      <c r="F28" s="116"/>
      <c r="G28" s="117"/>
      <c r="H28" s="118"/>
      <c r="I28" s="119"/>
      <c r="J28" s="120"/>
      <c r="K28" s="121"/>
      <c r="L28" s="122"/>
      <c r="M28" s="123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  <c r="BB28" s="86"/>
      <c r="BC28" s="86"/>
      <c r="BD28" s="86"/>
      <c r="BE28" s="86"/>
      <c r="BF28" s="86"/>
      <c r="BG28" s="86"/>
      <c r="BH28" s="86"/>
      <c r="BI28" s="86"/>
      <c r="BJ28" s="86"/>
      <c r="BK28" s="86"/>
      <c r="BL28" s="86"/>
      <c r="BM28" s="86"/>
      <c r="BN28" s="86"/>
      <c r="BO28" s="86"/>
    </row>
    <row r="29" spans="1:76" s="92" customFormat="1" ht="17.399999999999999" thickBot="1">
      <c r="A29" s="74"/>
      <c r="B29" s="74"/>
      <c r="C29" s="74"/>
      <c r="D29" s="74"/>
      <c r="E29" s="74"/>
      <c r="F29" s="74"/>
      <c r="G29" s="125"/>
      <c r="H29" s="74"/>
      <c r="I29" s="74"/>
      <c r="J29" s="74"/>
      <c r="K29" s="74"/>
      <c r="L29" s="74"/>
      <c r="M29" s="7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  <c r="BB29" s="86"/>
      <c r="BC29" s="86"/>
      <c r="BD29" s="86"/>
      <c r="BE29" s="86"/>
      <c r="BF29" s="86"/>
      <c r="BG29" s="86"/>
      <c r="BH29" s="86"/>
      <c r="BI29" s="86"/>
      <c r="BJ29" s="86"/>
      <c r="BK29" s="86"/>
      <c r="BL29" s="86"/>
      <c r="BM29" s="86"/>
      <c r="BN29" s="86"/>
      <c r="BO29" s="86"/>
    </row>
    <row r="30" spans="1:76" s="70" customFormat="1" ht="17.399999999999999" thickBot="1">
      <c r="A30" s="126" t="s">
        <v>26</v>
      </c>
      <c r="B30" s="127"/>
      <c r="C30" s="128"/>
      <c r="D30" s="128"/>
      <c r="E30" s="128"/>
      <c r="F30" s="128"/>
      <c r="G30" s="128"/>
      <c r="H30" s="128"/>
      <c r="I30" s="129"/>
      <c r="J30" s="129"/>
      <c r="K30" s="129"/>
      <c r="L30" s="129"/>
      <c r="M30" s="130">
        <f>SUM(M9:M28)</f>
        <v>284853.90766306705</v>
      </c>
      <c r="N30" s="131"/>
      <c r="O30" s="131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86"/>
      <c r="BN30" s="86"/>
      <c r="BO30" s="86"/>
      <c r="BP30" s="92"/>
      <c r="BQ30" s="92"/>
      <c r="BR30" s="92"/>
      <c r="BS30" s="92"/>
      <c r="BT30" s="92"/>
      <c r="BU30" s="92"/>
      <c r="BV30" s="92"/>
      <c r="BW30" s="92"/>
      <c r="BX30" s="92"/>
    </row>
    <row r="31" spans="1:76" s="70" customFormat="1" ht="17.399999999999999" thickBot="1">
      <c r="A31" s="126" t="s">
        <v>27</v>
      </c>
      <c r="B31" s="127"/>
      <c r="C31" s="128"/>
      <c r="D31" s="132">
        <f>ESTIMATE!N402</f>
        <v>0.1</v>
      </c>
      <c r="E31" s="128"/>
      <c r="F31" s="129"/>
      <c r="G31" s="129"/>
      <c r="H31" s="129"/>
      <c r="I31" s="133"/>
      <c r="J31" s="129"/>
      <c r="K31" s="129"/>
      <c r="L31" s="129"/>
      <c r="M31" s="130">
        <f>M$30*D31</f>
        <v>28485.390766306708</v>
      </c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6"/>
      <c r="BM31" s="86"/>
      <c r="BN31" s="86"/>
      <c r="BO31" s="86"/>
      <c r="BP31" s="92"/>
      <c r="BQ31" s="92"/>
      <c r="BR31" s="92"/>
      <c r="BS31" s="92"/>
      <c r="BT31" s="92"/>
      <c r="BU31" s="92"/>
      <c r="BV31" s="92"/>
      <c r="BW31" s="92"/>
      <c r="BX31" s="92"/>
    </row>
    <row r="32" spans="1:76" s="70" customFormat="1" ht="17.399999999999999" thickBot="1">
      <c r="A32" s="126" t="s">
        <v>28</v>
      </c>
      <c r="B32" s="127"/>
      <c r="C32" s="128"/>
      <c r="D32" s="132">
        <f>ESTIMATE!N403</f>
        <v>0.1</v>
      </c>
      <c r="E32" s="128"/>
      <c r="F32" s="129"/>
      <c r="G32" s="129"/>
      <c r="H32" s="129"/>
      <c r="I32" s="133"/>
      <c r="J32" s="129"/>
      <c r="K32" s="129"/>
      <c r="L32" s="129"/>
      <c r="M32" s="130">
        <f t="shared" ref="M32:M34" si="1">M$30*D32</f>
        <v>28485.390766306708</v>
      </c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6"/>
      <c r="BM32" s="86"/>
      <c r="BN32" s="86"/>
      <c r="BO32" s="86"/>
      <c r="BP32" s="92"/>
      <c r="BQ32" s="92"/>
      <c r="BR32" s="92"/>
      <c r="BS32" s="92"/>
      <c r="BT32" s="92"/>
      <c r="BU32" s="92"/>
      <c r="BV32" s="92"/>
      <c r="BW32" s="92"/>
      <c r="BX32" s="92"/>
    </row>
    <row r="33" spans="1:76" s="70" customFormat="1" ht="17.399999999999999" thickBot="1">
      <c r="A33" s="126" t="s">
        <v>29</v>
      </c>
      <c r="B33" s="127"/>
      <c r="C33" s="128"/>
      <c r="D33" s="132">
        <f>ESTIMATE!N404</f>
        <v>0</v>
      </c>
      <c r="E33" s="128"/>
      <c r="F33" s="129"/>
      <c r="G33" s="129"/>
      <c r="H33" s="129"/>
      <c r="I33" s="133"/>
      <c r="J33" s="129"/>
      <c r="K33" s="129"/>
      <c r="L33" s="129"/>
      <c r="M33" s="130">
        <f t="shared" si="1"/>
        <v>0</v>
      </c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92"/>
      <c r="BQ33" s="92"/>
      <c r="BR33" s="92"/>
      <c r="BS33" s="92"/>
      <c r="BT33" s="92"/>
      <c r="BU33" s="92"/>
      <c r="BV33" s="92"/>
      <c r="BW33" s="92"/>
      <c r="BX33" s="92"/>
    </row>
    <row r="34" spans="1:76" s="70" customFormat="1" ht="17.399999999999999" thickBot="1">
      <c r="A34" s="126" t="s">
        <v>30</v>
      </c>
      <c r="B34" s="127"/>
      <c r="C34" s="128"/>
      <c r="D34" s="132">
        <f>ESTIMATE!N405</f>
        <v>0.05</v>
      </c>
      <c r="E34" s="128"/>
      <c r="F34" s="129"/>
      <c r="G34" s="129"/>
      <c r="H34" s="129"/>
      <c r="I34" s="133"/>
      <c r="J34" s="129"/>
      <c r="K34" s="129"/>
      <c r="L34" s="129"/>
      <c r="M34" s="130">
        <f t="shared" si="1"/>
        <v>14242.695383153354</v>
      </c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6"/>
      <c r="BM34" s="86"/>
      <c r="BN34" s="86"/>
      <c r="BO34" s="86"/>
      <c r="BP34" s="92"/>
      <c r="BQ34" s="92"/>
      <c r="BR34" s="92"/>
      <c r="BS34" s="92"/>
      <c r="BT34" s="92"/>
      <c r="BU34" s="92"/>
      <c r="BV34" s="92"/>
      <c r="BW34" s="92"/>
      <c r="BX34" s="92"/>
    </row>
    <row r="35" spans="1:76" s="70" customFormat="1" ht="17.399999999999999" thickBot="1">
      <c r="A35" s="126" t="s">
        <v>31</v>
      </c>
      <c r="B35" s="127"/>
      <c r="C35" s="128"/>
      <c r="D35" s="128"/>
      <c r="E35" s="128"/>
      <c r="F35" s="128"/>
      <c r="G35" s="128"/>
      <c r="H35" s="128"/>
      <c r="I35" s="128"/>
      <c r="J35" s="129"/>
      <c r="K35" s="129"/>
      <c r="L35" s="129"/>
      <c r="M35" s="130">
        <f>SUM(M30:M34)</f>
        <v>356067.38457883382</v>
      </c>
      <c r="N35" s="134"/>
      <c r="O35" s="134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  <c r="BK35" s="86"/>
      <c r="BL35" s="86"/>
      <c r="BM35" s="86"/>
      <c r="BN35" s="86"/>
      <c r="BO35" s="86"/>
      <c r="BP35" s="92"/>
      <c r="BQ35" s="92"/>
      <c r="BR35" s="92"/>
      <c r="BS35" s="92"/>
      <c r="BT35" s="92"/>
      <c r="BU35" s="92"/>
      <c r="BV35" s="92"/>
      <c r="BW35" s="92"/>
      <c r="BX35" s="92"/>
    </row>
    <row r="36" spans="1:76" s="70" customFormat="1" ht="15.6" customHeight="1">
      <c r="A36" s="337" t="s">
        <v>120</v>
      </c>
      <c r="B36" s="337"/>
      <c r="C36" s="337"/>
      <c r="D36" s="337"/>
      <c r="E36" s="337"/>
      <c r="F36" s="337"/>
      <c r="G36" s="337"/>
      <c r="H36" s="337"/>
      <c r="I36" s="337"/>
      <c r="J36" s="337"/>
      <c r="K36" s="337"/>
      <c r="L36" s="337"/>
      <c r="M36" s="337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92"/>
      <c r="BQ36" s="92"/>
      <c r="BR36" s="92"/>
      <c r="BS36" s="92"/>
      <c r="BT36" s="92"/>
      <c r="BU36" s="92"/>
      <c r="BV36" s="92"/>
      <c r="BW36" s="92"/>
      <c r="BX36" s="92"/>
    </row>
    <row r="37" spans="1:76" s="70" customFormat="1" ht="16.8">
      <c r="A37" s="338"/>
      <c r="B37" s="338"/>
      <c r="C37" s="338"/>
      <c r="D37" s="338"/>
      <c r="E37" s="338"/>
      <c r="F37" s="338"/>
      <c r="G37" s="338"/>
      <c r="H37" s="338"/>
      <c r="I37" s="338"/>
      <c r="J37" s="338"/>
      <c r="K37" s="338"/>
      <c r="L37" s="338"/>
      <c r="M37" s="338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  <c r="BK37" s="86"/>
      <c r="BL37" s="86"/>
      <c r="BM37" s="86"/>
      <c r="BN37" s="86"/>
      <c r="BO37" s="86"/>
      <c r="BP37" s="92"/>
      <c r="BQ37" s="92"/>
      <c r="BR37" s="92"/>
      <c r="BS37" s="92"/>
      <c r="BT37" s="92"/>
      <c r="BU37" s="92"/>
      <c r="BV37" s="92"/>
      <c r="BW37" s="92"/>
      <c r="BX37" s="92"/>
    </row>
    <row r="38" spans="1:76" s="1" customFormat="1" ht="15.6">
      <c r="A38" s="203"/>
      <c r="B38" s="203"/>
      <c r="C38" s="203"/>
      <c r="D38" s="203"/>
      <c r="E38" s="203"/>
      <c r="F38" s="203"/>
      <c r="G38" s="203"/>
      <c r="H38" s="203"/>
      <c r="I38" s="203"/>
      <c r="J38" s="203"/>
      <c r="K38" s="18"/>
      <c r="L38" s="18"/>
      <c r="M38" s="3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2"/>
      <c r="BQ38" s="2"/>
      <c r="BR38" s="2"/>
      <c r="BS38" s="2"/>
      <c r="BT38" s="2"/>
      <c r="BU38" s="2"/>
      <c r="BV38" s="2"/>
      <c r="BW38" s="2"/>
      <c r="BX38" s="2"/>
    </row>
    <row r="39" spans="1:76" s="1" customFormat="1" ht="15.6">
      <c r="A39" s="203"/>
      <c r="B39" s="203"/>
      <c r="C39" s="203"/>
      <c r="D39" s="203"/>
      <c r="E39" s="203"/>
      <c r="F39" s="203"/>
      <c r="G39" s="203"/>
      <c r="H39" s="203"/>
      <c r="I39" s="203"/>
      <c r="J39" s="203"/>
      <c r="K39" s="18"/>
      <c r="L39" s="18"/>
      <c r="M39" s="3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2"/>
      <c r="BQ39" s="2"/>
      <c r="BR39" s="2"/>
      <c r="BS39" s="2"/>
      <c r="BT39" s="2"/>
      <c r="BU39" s="2"/>
      <c r="BV39" s="2"/>
      <c r="BW39" s="2"/>
      <c r="BX39" s="2"/>
    </row>
    <row r="40" spans="1:76" s="1" customFormat="1" ht="15.6">
      <c r="A40" s="10" t="str">
        <f>IF(E40&lt;&gt;"",1+MAX($A$36:A39),"")</f>
        <v/>
      </c>
      <c r="B40" s="4"/>
      <c r="C40" s="11"/>
      <c r="D40" s="12"/>
      <c r="E40" s="13"/>
      <c r="F40" s="14"/>
      <c r="G40" s="15"/>
      <c r="H40" s="16"/>
      <c r="I40" s="15"/>
      <c r="J40" s="15"/>
      <c r="K40" s="18"/>
      <c r="L40" s="18"/>
      <c r="M40" s="3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2"/>
      <c r="BQ40" s="2"/>
      <c r="BR40" s="2"/>
      <c r="BS40" s="2"/>
      <c r="BT40" s="2"/>
      <c r="BU40" s="2"/>
      <c r="BV40" s="2"/>
      <c r="BW40" s="2"/>
      <c r="BX40" s="2"/>
    </row>
    <row r="41" spans="1:76" s="1" customFormat="1" ht="15.6">
      <c r="A41" s="10" t="str">
        <f>IF(E41&lt;&gt;"",1+MAX($A$36:A40),"")</f>
        <v/>
      </c>
      <c r="B41" s="4"/>
      <c r="C41" s="11"/>
      <c r="D41" s="12"/>
      <c r="E41" s="13"/>
      <c r="F41" s="14"/>
      <c r="G41" s="15"/>
      <c r="H41" s="16"/>
      <c r="I41" s="15"/>
      <c r="J41" s="15"/>
      <c r="K41" s="18"/>
      <c r="L41" s="18"/>
      <c r="M41" s="3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2"/>
      <c r="BQ41" s="2"/>
      <c r="BR41" s="2"/>
      <c r="BS41" s="2"/>
      <c r="BT41" s="2"/>
      <c r="BU41" s="2"/>
      <c r="BV41" s="2"/>
      <c r="BW41" s="2"/>
      <c r="BX41" s="2"/>
    </row>
    <row r="42" spans="1:76" s="1" customFormat="1">
      <c r="A42" s="10" t="str">
        <f>IF(E42&lt;&gt;"",1+MAX($A$36:A41),"")</f>
        <v/>
      </c>
      <c r="B42" s="4"/>
      <c r="C42" s="11"/>
      <c r="D42" s="12"/>
      <c r="E42" s="13"/>
      <c r="F42" s="14"/>
      <c r="G42" s="15"/>
      <c r="H42" s="16"/>
      <c r="I42" s="15"/>
      <c r="J42" s="15"/>
      <c r="K42" s="18"/>
      <c r="L42" s="18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</row>
    <row r="43" spans="1:76" s="1" customFormat="1">
      <c r="A43" s="10" t="str">
        <f>IF(E43&lt;&gt;"",1+MAX($A$36:A42),"")</f>
        <v/>
      </c>
      <c r="B43" s="4"/>
      <c r="C43" s="11"/>
      <c r="D43" s="12"/>
      <c r="E43" s="13"/>
      <c r="F43" s="14"/>
      <c r="G43" s="15"/>
      <c r="H43" s="16"/>
      <c r="I43" s="15"/>
      <c r="J43" s="15"/>
      <c r="K43" s="18"/>
      <c r="L43" s="18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</row>
    <row r="44" spans="1:76" s="1" customFormat="1">
      <c r="A44" s="10" t="str">
        <f>IF(E44&lt;&gt;"",1+MAX($A$36:A43),"")</f>
        <v/>
      </c>
      <c r="B44" s="4"/>
      <c r="C44" s="11"/>
      <c r="D44" s="12"/>
      <c r="E44" s="13"/>
      <c r="F44" s="14"/>
      <c r="G44" s="15"/>
      <c r="H44" s="16"/>
      <c r="I44" s="15"/>
      <c r="J44" s="15"/>
      <c r="K44" s="18"/>
      <c r="L44" s="18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</row>
    <row r="45" spans="1:76" s="1" customFormat="1">
      <c r="A45" s="10" t="str">
        <f>IF(E45&lt;&gt;"",1+MAX($A$36:A44),"")</f>
        <v/>
      </c>
      <c r="B45" s="4"/>
      <c r="C45" s="11"/>
      <c r="D45" s="12"/>
      <c r="E45" s="13"/>
      <c r="F45" s="14"/>
      <c r="G45" s="15"/>
      <c r="H45" s="16"/>
      <c r="I45" s="15"/>
      <c r="J45" s="15"/>
      <c r="K45" s="18"/>
      <c r="L45" s="18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</row>
    <row r="46" spans="1:76" s="1" customFormat="1">
      <c r="A46" s="10" t="str">
        <f>IF(E46&lt;&gt;"",1+MAX($A$36:A45),"")</f>
        <v/>
      </c>
      <c r="B46" s="4"/>
      <c r="C46" s="11"/>
      <c r="D46" s="12"/>
      <c r="E46" s="13"/>
      <c r="F46" s="14"/>
      <c r="G46" s="15"/>
      <c r="H46" s="16"/>
      <c r="I46" s="15"/>
      <c r="J46" s="15"/>
      <c r="K46" s="18"/>
      <c r="L46" s="18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</row>
    <row r="47" spans="1:76" s="1" customFormat="1">
      <c r="A47" s="10" t="str">
        <f>IF(E47&lt;&gt;"",1+MAX($A$36:A46),"")</f>
        <v/>
      </c>
      <c r="B47" s="4"/>
      <c r="C47" s="11"/>
      <c r="D47" s="12"/>
      <c r="E47" s="13"/>
      <c r="F47" s="14"/>
      <c r="G47" s="15"/>
      <c r="H47" s="16"/>
      <c r="I47" s="15"/>
      <c r="J47" s="15"/>
      <c r="K47" s="18"/>
      <c r="L47" s="18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</row>
    <row r="48" spans="1:76" s="1" customFormat="1">
      <c r="A48" s="10" t="str">
        <f>IF(E48&lt;&gt;"",1+MAX($A$36:A47),"")</f>
        <v/>
      </c>
      <c r="B48" s="4"/>
      <c r="C48" s="11"/>
      <c r="D48" s="12"/>
      <c r="E48" s="13"/>
      <c r="F48" s="14"/>
      <c r="G48" s="15"/>
      <c r="H48" s="16"/>
      <c r="I48" s="15"/>
      <c r="J48" s="15"/>
      <c r="K48" s="18"/>
      <c r="L48" s="18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</row>
    <row r="49" spans="1:67" s="1" customFormat="1">
      <c r="A49" s="10" t="str">
        <f>IF(E49&lt;&gt;"",1+MAX($A$36:A48),"")</f>
        <v/>
      </c>
      <c r="B49" s="4"/>
      <c r="C49" s="11"/>
      <c r="D49" s="12"/>
      <c r="E49" s="13"/>
      <c r="F49" s="14"/>
      <c r="G49" s="15"/>
      <c r="H49" s="16"/>
      <c r="I49" s="15"/>
      <c r="J49" s="18"/>
      <c r="K49" s="18"/>
      <c r="L49" s="18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</row>
    <row r="50" spans="1:67" s="1" customFormat="1">
      <c r="A50" s="10" t="str">
        <f>IF(E50&lt;&gt;"",1+MAX($A$36:A49),"")</f>
        <v/>
      </c>
      <c r="B50" s="4"/>
      <c r="C50" s="11"/>
      <c r="D50" s="12"/>
      <c r="E50" s="13"/>
      <c r="F50" s="14"/>
      <c r="G50" s="15"/>
      <c r="H50" s="16"/>
      <c r="I50" s="15"/>
      <c r="J50" s="15"/>
      <c r="K50" s="18"/>
      <c r="L50" s="18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</row>
    <row r="51" spans="1:67" s="1" customFormat="1">
      <c r="A51" s="10" t="str">
        <f>IF(E51&lt;&gt;"",1+MAX($A$36:A50),"")</f>
        <v/>
      </c>
      <c r="B51" s="4"/>
      <c r="C51" s="11"/>
      <c r="D51" s="12"/>
      <c r="E51" s="13"/>
      <c r="F51" s="14"/>
      <c r="G51" s="15"/>
      <c r="H51" s="16"/>
      <c r="I51" s="15"/>
      <c r="J51" s="15"/>
      <c r="K51" s="18"/>
      <c r="L51" s="18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</row>
    <row r="52" spans="1:67" s="1" customFormat="1">
      <c r="A52" s="10" t="str">
        <f>IF(E52&lt;&gt;"",1+MAX($A$36:A51),"")</f>
        <v/>
      </c>
      <c r="B52" s="4"/>
      <c r="C52" s="11"/>
      <c r="D52" s="12"/>
      <c r="E52" s="13"/>
      <c r="F52" s="14"/>
      <c r="G52" s="15"/>
      <c r="H52" s="16"/>
      <c r="I52" s="15"/>
      <c r="J52" s="15"/>
      <c r="K52" s="18"/>
      <c r="L52" s="18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</row>
    <row r="53" spans="1:67" s="1" customFormat="1">
      <c r="A53" s="10" t="str">
        <f>IF(E53&lt;&gt;"",1+MAX($A$36:A52),"")</f>
        <v/>
      </c>
      <c r="B53" s="4"/>
      <c r="C53" s="11"/>
      <c r="D53" s="12"/>
      <c r="E53" s="13"/>
      <c r="F53" s="14"/>
      <c r="G53" s="15"/>
      <c r="H53" s="16"/>
      <c r="I53" s="15"/>
      <c r="J53" s="15"/>
      <c r="K53" s="18"/>
      <c r="L53" s="18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</row>
    <row r="54" spans="1:67" s="1" customFormat="1">
      <c r="A54" s="10" t="str">
        <f>IF(E54&lt;&gt;"",1+MAX($A$36:A53),"")</f>
        <v/>
      </c>
      <c r="B54" s="4"/>
      <c r="C54" s="11"/>
      <c r="D54" s="12"/>
      <c r="E54" s="13"/>
      <c r="F54" s="14"/>
      <c r="G54" s="15"/>
      <c r="H54" s="16"/>
      <c r="I54" s="15"/>
      <c r="J54" s="15"/>
      <c r="K54" s="18"/>
      <c r="L54" s="18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</row>
    <row r="55" spans="1:67" s="1" customFormat="1">
      <c r="A55" s="10" t="str">
        <f>IF(E55&lt;&gt;"",1+MAX($A$36:A54),"")</f>
        <v/>
      </c>
      <c r="B55" s="4"/>
      <c r="C55" s="11"/>
      <c r="D55" s="12"/>
      <c r="E55" s="13"/>
      <c r="F55" s="14"/>
      <c r="G55" s="15"/>
      <c r="H55" s="16"/>
      <c r="I55" s="15"/>
      <c r="J55" s="15"/>
      <c r="K55" s="18"/>
      <c r="L55" s="18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</row>
    <row r="56" spans="1:67" s="1" customFormat="1">
      <c r="A56" s="10" t="str">
        <f>IF(E56&lt;&gt;"",1+MAX($A$36:A55),"")</f>
        <v/>
      </c>
      <c r="B56" s="4"/>
      <c r="C56" s="11"/>
      <c r="D56" s="12"/>
      <c r="E56" s="13"/>
      <c r="F56" s="14"/>
      <c r="G56" s="15"/>
      <c r="H56" s="16"/>
      <c r="I56" s="15"/>
      <c r="J56" s="15"/>
      <c r="K56" s="18"/>
      <c r="L56" s="18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</row>
    <row r="57" spans="1:67" s="1" customFormat="1">
      <c r="A57" s="10" t="str">
        <f>IF(E57&lt;&gt;"",1+MAX($A$36:A56),"")</f>
        <v/>
      </c>
      <c r="B57" s="4"/>
      <c r="C57" s="11"/>
      <c r="D57" s="12"/>
      <c r="E57" s="13"/>
      <c r="F57" s="14"/>
      <c r="G57" s="15"/>
      <c r="H57" s="16"/>
      <c r="I57" s="15"/>
      <c r="J57" s="15"/>
      <c r="K57" s="15"/>
      <c r="L57" s="15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</row>
    <row r="58" spans="1:67" s="1" customFormat="1">
      <c r="A58" s="10" t="str">
        <f>IF(E58&lt;&gt;"",1+MAX($A$36:A57),"")</f>
        <v/>
      </c>
      <c r="B58" s="4"/>
      <c r="C58" s="11"/>
      <c r="D58" s="12"/>
      <c r="E58" s="13"/>
      <c r="F58" s="14"/>
      <c r="G58" s="15"/>
      <c r="H58" s="16"/>
      <c r="I58" s="15"/>
      <c r="J58" s="15"/>
      <c r="K58" s="15"/>
      <c r="L58" s="15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</row>
    <row r="59" spans="1:67" s="1" customFormat="1">
      <c r="A59" s="10" t="str">
        <f>IF(E59&lt;&gt;"",1+MAX($A$36:A58),"")</f>
        <v/>
      </c>
      <c r="B59" s="4"/>
      <c r="C59" s="11"/>
      <c r="D59" s="12"/>
      <c r="E59" s="13"/>
      <c r="F59" s="14"/>
      <c r="G59" s="15"/>
      <c r="H59" s="16"/>
      <c r="I59" s="15"/>
      <c r="J59" s="15"/>
      <c r="K59" s="15"/>
      <c r="L59" s="15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</row>
    <row r="60" spans="1:67" s="1" customFormat="1">
      <c r="A60" s="10" t="str">
        <f>IF(E60&lt;&gt;"",1+MAX($A$36:A59),"")</f>
        <v/>
      </c>
      <c r="B60" s="4"/>
      <c r="C60" s="11"/>
      <c r="D60" s="12"/>
      <c r="E60" s="13"/>
      <c r="F60" s="14"/>
      <c r="G60" s="15"/>
      <c r="H60" s="16"/>
      <c r="I60" s="15"/>
      <c r="J60" s="15"/>
      <c r="K60" s="15"/>
      <c r="L60" s="15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</row>
    <row r="61" spans="1:67" s="1" customFormat="1">
      <c r="A61" s="10" t="str">
        <f>IF(E61&lt;&gt;"",1+MAX($A$36:A60),"")</f>
        <v/>
      </c>
      <c r="B61" s="4"/>
      <c r="C61" s="11"/>
      <c r="D61" s="12"/>
      <c r="E61" s="13"/>
      <c r="F61" s="14"/>
      <c r="G61" s="15"/>
      <c r="H61" s="16"/>
      <c r="I61" s="15"/>
      <c r="J61" s="15"/>
      <c r="K61" s="15"/>
      <c r="L61" s="15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</row>
    <row r="62" spans="1:67" s="1" customFormat="1">
      <c r="A62" s="10" t="str">
        <f>IF(E62&lt;&gt;"",1+MAX($A$36:A61),"")</f>
        <v/>
      </c>
      <c r="B62" s="4"/>
      <c r="C62" s="11"/>
      <c r="D62" s="12"/>
      <c r="E62" s="13"/>
      <c r="F62" s="14"/>
      <c r="G62" s="15"/>
      <c r="H62" s="16"/>
      <c r="I62" s="15"/>
      <c r="J62" s="15"/>
      <c r="K62" s="15"/>
      <c r="L62" s="15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</row>
    <row r="63" spans="1:67" s="1" customFormat="1">
      <c r="A63" s="10" t="str">
        <f>IF(E63&lt;&gt;"",1+MAX($A$36:A62),"")</f>
        <v/>
      </c>
      <c r="B63" s="4"/>
      <c r="C63" s="11"/>
      <c r="D63" s="12"/>
      <c r="E63" s="13"/>
      <c r="F63" s="14"/>
      <c r="G63" s="15"/>
      <c r="H63" s="16"/>
      <c r="I63" s="15"/>
      <c r="J63" s="15"/>
      <c r="K63" s="15"/>
      <c r="L63" s="15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</row>
    <row r="64" spans="1:67" s="1" customFormat="1">
      <c r="A64" s="10" t="str">
        <f>IF(E64&lt;&gt;"",1+MAX($A$36:A63),"")</f>
        <v/>
      </c>
      <c r="B64" s="4"/>
      <c r="C64" s="11"/>
      <c r="D64" s="12"/>
      <c r="E64" s="13"/>
      <c r="F64" s="14"/>
      <c r="G64" s="15"/>
      <c r="H64" s="16"/>
      <c r="I64" s="15"/>
      <c r="J64" s="15"/>
      <c r="K64" s="15"/>
      <c r="L64" s="15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</row>
    <row r="65" spans="1:67" s="1" customFormat="1">
      <c r="A65" s="10" t="str">
        <f>IF(E65&lt;&gt;"",1+MAX($A$36:A64),"")</f>
        <v/>
      </c>
      <c r="B65" s="4"/>
      <c r="C65" s="11"/>
      <c r="D65" s="12"/>
      <c r="E65" s="13"/>
      <c r="F65" s="14"/>
      <c r="G65" s="15"/>
      <c r="H65" s="16"/>
      <c r="I65" s="15"/>
      <c r="J65" s="15"/>
      <c r="K65" s="15"/>
      <c r="L65" s="15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</row>
    <row r="66" spans="1:67" s="1" customFormat="1">
      <c r="A66" s="10" t="str">
        <f>IF(E66&lt;&gt;"",1+MAX($A$36:A65),"")</f>
        <v/>
      </c>
      <c r="B66" s="4"/>
      <c r="C66" s="11"/>
      <c r="D66" s="12"/>
      <c r="E66" s="13"/>
      <c r="F66" s="14"/>
      <c r="G66" s="15"/>
      <c r="H66" s="16"/>
      <c r="I66" s="15"/>
      <c r="J66" s="15"/>
      <c r="K66" s="15"/>
      <c r="L66" s="15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</row>
    <row r="67" spans="1:67" s="1" customFormat="1">
      <c r="A67" s="10" t="str">
        <f>IF(E67&lt;&gt;"",1+MAX($A$36:A66),"")</f>
        <v/>
      </c>
      <c r="B67" s="4"/>
      <c r="C67" s="11"/>
      <c r="D67" s="12"/>
      <c r="E67" s="13"/>
      <c r="F67" s="14"/>
      <c r="G67" s="15"/>
      <c r="H67" s="16"/>
      <c r="I67" s="15"/>
      <c r="J67" s="15"/>
      <c r="K67" s="15"/>
      <c r="L67" s="15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</row>
    <row r="68" spans="1:67" s="1" customFormat="1">
      <c r="A68" s="10" t="str">
        <f>IF(E68&lt;&gt;"",1+MAX($A$36:A67),"")</f>
        <v/>
      </c>
      <c r="B68" s="4"/>
      <c r="C68" s="11"/>
      <c r="D68" s="12"/>
      <c r="E68" s="13"/>
      <c r="F68" s="14"/>
      <c r="G68" s="15"/>
      <c r="H68" s="16"/>
      <c r="I68" s="15"/>
      <c r="J68" s="15"/>
      <c r="K68" s="15"/>
      <c r="L68" s="15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</row>
    <row r="69" spans="1:67" s="1" customFormat="1">
      <c r="A69" s="10" t="str">
        <f>IF(E69&lt;&gt;"",1+MAX($A$36:A68),"")</f>
        <v/>
      </c>
      <c r="B69" s="4"/>
      <c r="C69" s="11"/>
      <c r="D69" s="12"/>
      <c r="E69" s="13"/>
      <c r="F69" s="14"/>
      <c r="G69" s="15"/>
      <c r="H69" s="16"/>
      <c r="I69" s="15"/>
      <c r="J69" s="15"/>
      <c r="K69" s="15"/>
      <c r="L69" s="15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</row>
    <row r="70" spans="1:67" s="1" customFormat="1">
      <c r="A70" s="10" t="str">
        <f>IF(E70&lt;&gt;"",1+MAX($A$36:A69),"")</f>
        <v/>
      </c>
      <c r="B70" s="4"/>
      <c r="C70" s="11"/>
      <c r="D70" s="12"/>
      <c r="E70" s="13"/>
      <c r="F70" s="14"/>
      <c r="G70" s="15"/>
      <c r="H70" s="16"/>
      <c r="I70" s="15"/>
      <c r="J70" s="15"/>
      <c r="K70" s="15"/>
      <c r="L70" s="15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</row>
    <row r="71" spans="1:67" s="1" customFormat="1">
      <c r="A71" s="10" t="str">
        <f>IF(E71&lt;&gt;"",1+MAX($A$36:A70),"")</f>
        <v/>
      </c>
      <c r="B71" s="4"/>
      <c r="C71" s="11"/>
      <c r="D71" s="12"/>
      <c r="E71" s="13"/>
      <c r="F71" s="14"/>
      <c r="G71" s="15"/>
      <c r="H71" s="16"/>
      <c r="I71" s="15"/>
      <c r="J71" s="15"/>
      <c r="K71" s="15"/>
      <c r="L71" s="15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</row>
    <row r="72" spans="1:67" s="1" customFormat="1">
      <c r="A72" s="10" t="str">
        <f>IF(E72&lt;&gt;"",1+MAX($A$36:A71),"")</f>
        <v/>
      </c>
      <c r="B72" s="4"/>
      <c r="C72" s="11"/>
      <c r="D72" s="12"/>
      <c r="E72" s="13"/>
      <c r="F72" s="14"/>
      <c r="G72" s="15"/>
      <c r="H72" s="16"/>
      <c r="I72" s="15"/>
      <c r="J72" s="15"/>
      <c r="K72" s="15"/>
      <c r="L72" s="15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</row>
    <row r="73" spans="1:67" s="1" customFormat="1">
      <c r="A73" s="10" t="str">
        <f>IF(E73&lt;&gt;"",1+MAX($A$36:A72),"")</f>
        <v/>
      </c>
      <c r="B73" s="4"/>
      <c r="C73" s="5"/>
      <c r="D73" s="6"/>
      <c r="E73" s="7"/>
      <c r="F73" s="3"/>
      <c r="G73" s="8"/>
      <c r="H73" s="9"/>
      <c r="I73" s="3"/>
      <c r="J73" s="3"/>
      <c r="K73" s="15"/>
      <c r="L73" s="15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</row>
    <row r="74" spans="1:67" s="1" customFormat="1">
      <c r="A74" s="10" t="str">
        <f>IF(E74&lt;&gt;"",1+MAX($A$36:A73),"")</f>
        <v/>
      </c>
      <c r="B74" s="4"/>
      <c r="C74" s="5"/>
      <c r="D74" s="6"/>
      <c r="E74" s="7"/>
      <c r="F74" s="3"/>
      <c r="G74" s="8"/>
      <c r="H74" s="9"/>
      <c r="I74" s="3"/>
      <c r="J74" s="3"/>
      <c r="K74" s="15"/>
      <c r="L74" s="15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</row>
    <row r="75" spans="1:67" s="1" customFormat="1">
      <c r="A75" s="10" t="str">
        <f>IF(E75&lt;&gt;"",1+MAX($A$36:A74),"")</f>
        <v/>
      </c>
      <c r="B75" s="4"/>
      <c r="C75" s="5"/>
      <c r="D75" s="6"/>
      <c r="E75" s="7"/>
      <c r="F75" s="3"/>
      <c r="G75" s="8"/>
      <c r="H75" s="9"/>
      <c r="I75" s="3"/>
      <c r="J75" s="3"/>
      <c r="K75" s="15"/>
      <c r="L75" s="15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</row>
    <row r="76" spans="1:67" s="1" customFormat="1">
      <c r="A76" s="10" t="str">
        <f>IF(E76&lt;&gt;"",1+MAX($A$36:A75),"")</f>
        <v/>
      </c>
      <c r="B76" s="4"/>
      <c r="C76" s="5"/>
      <c r="D76" s="6"/>
      <c r="E76" s="7"/>
      <c r="F76" s="3"/>
      <c r="G76" s="8"/>
      <c r="H76" s="9"/>
      <c r="I76" s="3"/>
      <c r="J76" s="3"/>
      <c r="K76" s="15"/>
      <c r="L76" s="15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</row>
    <row r="77" spans="1:67" s="1" customFormat="1">
      <c r="A77" s="10" t="str">
        <f>IF(E77&lt;&gt;"",1+MAX($A$36:A76),"")</f>
        <v/>
      </c>
      <c r="B77" s="4"/>
      <c r="C77" s="5"/>
      <c r="D77" s="6"/>
      <c r="E77" s="7"/>
      <c r="F77" s="3"/>
      <c r="G77" s="8"/>
      <c r="H77" s="9"/>
      <c r="I77" s="3"/>
      <c r="J77" s="3"/>
      <c r="K77" s="15"/>
      <c r="L77" s="15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</row>
    <row r="78" spans="1:67" s="1" customFormat="1">
      <c r="A78" s="10" t="str">
        <f>IF(E78&lt;&gt;"",1+MAX($A$36:A77),"")</f>
        <v/>
      </c>
      <c r="B78" s="4"/>
      <c r="C78" s="5"/>
      <c r="D78" s="6"/>
      <c r="E78" s="7"/>
      <c r="F78" s="3"/>
      <c r="G78" s="8"/>
      <c r="H78" s="9"/>
      <c r="I78" s="3"/>
      <c r="J78" s="3"/>
      <c r="K78" s="15"/>
      <c r="L78" s="15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</row>
    <row r="79" spans="1:67" s="1" customFormat="1">
      <c r="A79" s="10" t="str">
        <f>IF(E79&lt;&gt;"",1+MAX($A$36:A78),"")</f>
        <v/>
      </c>
      <c r="B79" s="4"/>
      <c r="C79" s="5"/>
      <c r="D79" s="6"/>
      <c r="E79" s="7"/>
      <c r="F79" s="3"/>
      <c r="G79" s="8"/>
      <c r="H79" s="9"/>
      <c r="I79" s="3"/>
      <c r="J79" s="3"/>
      <c r="K79" s="15"/>
      <c r="L79" s="15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</row>
    <row r="80" spans="1:67">
      <c r="A80" s="10" t="str">
        <f>IF(E80&lt;&gt;"",1+MAX($A$36:A79),"")</f>
        <v/>
      </c>
      <c r="K80" s="15"/>
      <c r="L80" s="15"/>
    </row>
    <row r="81" spans="1:12">
      <c r="A81" s="10" t="str">
        <f>IF(E81&lt;&gt;"",1+MAX($A$36:A80),"")</f>
        <v/>
      </c>
      <c r="K81" s="15"/>
      <c r="L81" s="15"/>
    </row>
    <row r="82" spans="1:12">
      <c r="A82" s="10" t="str">
        <f>IF(E82&lt;&gt;"",1+MAX($A$36:A81),"")</f>
        <v/>
      </c>
      <c r="K82" s="15"/>
      <c r="L82" s="15"/>
    </row>
    <row r="83" spans="1:12">
      <c r="A83" s="10" t="str">
        <f>IF(E83&lt;&gt;"",1+MAX($A$36:A82),"")</f>
        <v/>
      </c>
      <c r="K83" s="15"/>
      <c r="L83" s="15"/>
    </row>
    <row r="84" spans="1:12">
      <c r="A84" s="10" t="str">
        <f>IF(E84&lt;&gt;"",1+MAX($A$36:A83),"")</f>
        <v/>
      </c>
      <c r="K84" s="15"/>
      <c r="L84" s="15"/>
    </row>
    <row r="85" spans="1:12">
      <c r="A85" s="10" t="str">
        <f>IF(E85&lt;&gt;"",1+MAX($A$36:A84),"")</f>
        <v/>
      </c>
      <c r="K85" s="15"/>
      <c r="L85" s="15"/>
    </row>
    <row r="86" spans="1:12">
      <c r="A86" s="10" t="str">
        <f>IF(E86&lt;&gt;"",1+MAX($A$36:A85),"")</f>
        <v/>
      </c>
      <c r="K86" s="15"/>
      <c r="L86" s="15"/>
    </row>
    <row r="87" spans="1:12">
      <c r="A87" s="10" t="str">
        <f>IF(E87&lt;&gt;"",1+MAX($A$36:A86),"")</f>
        <v/>
      </c>
      <c r="K87" s="15"/>
      <c r="L87" s="15"/>
    </row>
    <row r="88" spans="1:12">
      <c r="A88" s="10" t="str">
        <f>IF(E88&lt;&gt;"",1+MAX($A$36:A87),"")</f>
        <v/>
      </c>
      <c r="K88" s="15"/>
      <c r="L88" s="15"/>
    </row>
    <row r="89" spans="1:12">
      <c r="A89" s="10" t="str">
        <f>IF(E89&lt;&gt;"",1+MAX($A$36:A88),"")</f>
        <v/>
      </c>
      <c r="K89" s="15"/>
      <c r="L89" s="15"/>
    </row>
    <row r="90" spans="1:12">
      <c r="A90" s="10" t="str">
        <f>IF(E90&lt;&gt;"",1+MAX($A$36:A89),"")</f>
        <v/>
      </c>
      <c r="K90" s="15"/>
      <c r="L90" s="15"/>
    </row>
    <row r="91" spans="1:12">
      <c r="A91" s="10" t="str">
        <f>IF(E91&lt;&gt;"",1+MAX($A$36:A90),"")</f>
        <v/>
      </c>
      <c r="K91" s="15"/>
      <c r="L91" s="15"/>
    </row>
    <row r="92" spans="1:12">
      <c r="A92" s="10" t="str">
        <f>IF(E92&lt;&gt;"",1+MAX($A$36:A91),"")</f>
        <v/>
      </c>
      <c r="K92" s="15"/>
      <c r="L92" s="15"/>
    </row>
    <row r="93" spans="1:12">
      <c r="A93" s="10" t="str">
        <f>IF(E93&lt;&gt;"",1+MAX($A$36:A92),"")</f>
        <v/>
      </c>
      <c r="K93" s="15"/>
      <c r="L93" s="15"/>
    </row>
    <row r="94" spans="1:12">
      <c r="A94" s="10" t="str">
        <f>IF(E94&lt;&gt;"",1+MAX($A$36:A93),"")</f>
        <v/>
      </c>
      <c r="K94" s="15"/>
      <c r="L94" s="15"/>
    </row>
    <row r="95" spans="1:12">
      <c r="A95" s="10" t="str">
        <f>IF(E95&lt;&gt;"",1+MAX($A$36:A94),"")</f>
        <v/>
      </c>
      <c r="K95" s="15"/>
      <c r="L95" s="15"/>
    </row>
    <row r="96" spans="1:12">
      <c r="A96" s="10" t="str">
        <f>IF(E96&lt;&gt;"",1+MAX($A$36:A95),"")</f>
        <v/>
      </c>
      <c r="K96" s="15"/>
      <c r="L96" s="15"/>
    </row>
    <row r="97" spans="1:12">
      <c r="A97" s="10" t="str">
        <f>IF(E97&lt;&gt;"",1+MAX($A$36:A96),"")</f>
        <v/>
      </c>
      <c r="K97" s="15"/>
      <c r="L97" s="15"/>
    </row>
    <row r="98" spans="1:12">
      <c r="A98" s="10" t="str">
        <f>IF(E98&lt;&gt;"",1+MAX($A$36:A97),"")</f>
        <v/>
      </c>
      <c r="K98" s="15"/>
      <c r="L98" s="15"/>
    </row>
    <row r="99" spans="1:12">
      <c r="A99" s="10" t="str">
        <f>IF(E99&lt;&gt;"",1+MAX($A$36:A98),"")</f>
        <v/>
      </c>
      <c r="K99" s="15"/>
      <c r="L99" s="15"/>
    </row>
    <row r="100" spans="1:12">
      <c r="A100" s="10" t="str">
        <f>IF(E100&lt;&gt;"",1+MAX($A$36:A99),"")</f>
        <v/>
      </c>
      <c r="K100" s="15"/>
      <c r="L100" s="15"/>
    </row>
    <row r="101" spans="1:12">
      <c r="A101" s="10" t="str">
        <f>IF(E101&lt;&gt;"",1+MAX($A$36:A100),"")</f>
        <v/>
      </c>
      <c r="K101" s="15"/>
      <c r="L101" s="15"/>
    </row>
    <row r="102" spans="1:12">
      <c r="A102" s="10" t="str">
        <f>IF(E102&lt;&gt;"",1+MAX($A$36:A101),"")</f>
        <v/>
      </c>
      <c r="K102" s="15"/>
      <c r="L102" s="15"/>
    </row>
    <row r="103" spans="1:12">
      <c r="A103" s="10" t="str">
        <f>IF(E103&lt;&gt;"",1+MAX($A$36:A102),"")</f>
        <v/>
      </c>
      <c r="K103" s="15"/>
      <c r="L103" s="15"/>
    </row>
    <row r="104" spans="1:12">
      <c r="A104" s="10" t="str">
        <f>IF(E104&lt;&gt;"",1+MAX($A$36:A103),"")</f>
        <v/>
      </c>
      <c r="K104" s="15"/>
      <c r="L104" s="15"/>
    </row>
    <row r="105" spans="1:12">
      <c r="A105" s="10" t="str">
        <f>IF(E105&lt;&gt;"",1+MAX($A$36:A104),"")</f>
        <v/>
      </c>
      <c r="K105" s="15"/>
      <c r="L105" s="15"/>
    </row>
    <row r="106" spans="1:12">
      <c r="A106" s="10" t="str">
        <f>IF(E106&lt;&gt;"",1+MAX($A$36:A105),"")</f>
        <v/>
      </c>
      <c r="K106" s="15"/>
      <c r="L106" s="15"/>
    </row>
    <row r="107" spans="1:12">
      <c r="A107" s="10" t="str">
        <f>IF(E107&lt;&gt;"",1+MAX($A$36:A106),"")</f>
        <v/>
      </c>
      <c r="K107" s="15"/>
      <c r="L107" s="15"/>
    </row>
    <row r="108" spans="1:12">
      <c r="A108" s="10" t="str">
        <f>IF(E108&lt;&gt;"",1+MAX($A$36:A107),"")</f>
        <v/>
      </c>
      <c r="K108" s="15"/>
      <c r="L108" s="15"/>
    </row>
    <row r="109" spans="1:12">
      <c r="A109" s="10" t="str">
        <f>IF(E109&lt;&gt;"",1+MAX($A$36:A108),"")</f>
        <v/>
      </c>
      <c r="K109" s="15"/>
      <c r="L109" s="15"/>
    </row>
    <row r="110" spans="1:12">
      <c r="A110" s="10" t="str">
        <f>IF(E110&lt;&gt;"",1+MAX($A$36:A109),"")</f>
        <v/>
      </c>
      <c r="K110" s="15"/>
      <c r="L110" s="15"/>
    </row>
    <row r="111" spans="1:12">
      <c r="A111" s="10" t="str">
        <f>IF(E111&lt;&gt;"",1+MAX($A$36:A110),"")</f>
        <v/>
      </c>
      <c r="K111" s="15"/>
      <c r="L111" s="15"/>
    </row>
    <row r="112" spans="1:12">
      <c r="A112" s="10" t="str">
        <f>IF(E112&lt;&gt;"",1+MAX($A$36:A111),"")</f>
        <v/>
      </c>
      <c r="K112" s="15"/>
      <c r="L112" s="15"/>
    </row>
    <row r="113" spans="1:12">
      <c r="A113" s="10" t="str">
        <f>IF(E113&lt;&gt;"",1+MAX($A$36:A112),"")</f>
        <v/>
      </c>
      <c r="K113" s="15"/>
      <c r="L113" s="15"/>
    </row>
    <row r="114" spans="1:12">
      <c r="A114" s="10" t="str">
        <f>IF(E114&lt;&gt;"",1+MAX($A$36:A113),"")</f>
        <v/>
      </c>
      <c r="K114" s="15"/>
      <c r="L114" s="15"/>
    </row>
    <row r="115" spans="1:12">
      <c r="A115" s="10" t="str">
        <f>IF(E115&lt;&gt;"",1+MAX($A$36:A114),"")</f>
        <v/>
      </c>
      <c r="K115" s="15"/>
      <c r="L115" s="15"/>
    </row>
    <row r="116" spans="1:12">
      <c r="A116" s="10" t="str">
        <f>IF(E116&lt;&gt;"",1+MAX($A$36:A115),"")</f>
        <v/>
      </c>
      <c r="K116" s="15"/>
      <c r="L116" s="15"/>
    </row>
    <row r="117" spans="1:12">
      <c r="A117" s="10" t="str">
        <f>IF(E117&lt;&gt;"",1+MAX($A$36:A116),"")</f>
        <v/>
      </c>
      <c r="K117" s="15"/>
      <c r="L117" s="15"/>
    </row>
    <row r="118" spans="1:12">
      <c r="A118" s="10" t="str">
        <f>IF(E118&lt;&gt;"",1+MAX($A$36:A117),"")</f>
        <v/>
      </c>
      <c r="K118" s="15"/>
      <c r="L118" s="15"/>
    </row>
    <row r="119" spans="1:12">
      <c r="A119" s="10" t="str">
        <f>IF(E119&lt;&gt;"",1+MAX($A$36:A118),"")</f>
        <v/>
      </c>
      <c r="K119" s="15"/>
      <c r="L119" s="15"/>
    </row>
    <row r="120" spans="1:12">
      <c r="A120" s="10" t="str">
        <f>IF(E120&lt;&gt;"",1+MAX($A$36:A119),"")</f>
        <v/>
      </c>
      <c r="K120" s="15"/>
      <c r="L120" s="15"/>
    </row>
    <row r="121" spans="1:12">
      <c r="A121" s="10" t="str">
        <f>IF(E121&lt;&gt;"",1+MAX($A$36:A120),"")</f>
        <v/>
      </c>
      <c r="K121" s="15"/>
      <c r="L121" s="15"/>
    </row>
    <row r="122" spans="1:12">
      <c r="A122" s="10" t="str">
        <f>IF(E122&lt;&gt;"",1+MAX($A$36:A121),"")</f>
        <v/>
      </c>
      <c r="K122" s="15"/>
      <c r="L122" s="15"/>
    </row>
    <row r="123" spans="1:12">
      <c r="A123" s="10" t="str">
        <f>IF(E123&lt;&gt;"",1+MAX($A$36:A122),"")</f>
        <v/>
      </c>
      <c r="K123" s="15"/>
      <c r="L123" s="15"/>
    </row>
    <row r="124" spans="1:12">
      <c r="A124" s="10" t="str">
        <f>IF(E124&lt;&gt;"",1+MAX($A$36:A123),"")</f>
        <v/>
      </c>
      <c r="K124" s="15"/>
      <c r="L124" s="15"/>
    </row>
    <row r="125" spans="1:12">
      <c r="A125" s="10" t="str">
        <f>IF(E125&lt;&gt;"",1+MAX($A$36:A124),"")</f>
        <v/>
      </c>
      <c r="K125" s="15"/>
      <c r="L125" s="15"/>
    </row>
    <row r="126" spans="1:12">
      <c r="A126" s="10" t="str">
        <f>IF(E126&lt;&gt;"",1+MAX($A$36:A125),"")</f>
        <v/>
      </c>
      <c r="K126" s="15"/>
      <c r="L126" s="15"/>
    </row>
    <row r="127" spans="1:12">
      <c r="A127" s="10" t="str">
        <f>IF(E127&lt;&gt;"",1+MAX($A$36:A126),"")</f>
        <v/>
      </c>
      <c r="K127" s="15"/>
      <c r="L127" s="15"/>
    </row>
    <row r="128" spans="1:12">
      <c r="A128" s="10" t="str">
        <f>IF(E128&lt;&gt;"",1+MAX($A$36:A127),"")</f>
        <v/>
      </c>
      <c r="K128" s="15"/>
      <c r="L128" s="15"/>
    </row>
    <row r="129" spans="1:12">
      <c r="A129" s="10" t="str">
        <f>IF(E129&lt;&gt;"",1+MAX($A$36:A128),"")</f>
        <v/>
      </c>
      <c r="K129" s="15"/>
      <c r="L129" s="15"/>
    </row>
    <row r="130" spans="1:12">
      <c r="A130" s="10" t="str">
        <f>IF(E130&lt;&gt;"",1+MAX($A$36:A129),"")</f>
        <v/>
      </c>
      <c r="K130" s="15"/>
      <c r="L130" s="15"/>
    </row>
    <row r="131" spans="1:12">
      <c r="A131" s="10" t="str">
        <f>IF(E131&lt;&gt;"",1+MAX($A$36:A130),"")</f>
        <v/>
      </c>
      <c r="K131" s="15"/>
      <c r="L131" s="15"/>
    </row>
    <row r="132" spans="1:12">
      <c r="A132" s="10" t="str">
        <f>IF(E132&lt;&gt;"",1+MAX($A$36:A131),"")</f>
        <v/>
      </c>
      <c r="K132" s="15"/>
      <c r="L132" s="15"/>
    </row>
    <row r="133" spans="1:12">
      <c r="A133" s="10" t="str">
        <f>IF(E133&lt;&gt;"",1+MAX($A$36:A132),"")</f>
        <v/>
      </c>
      <c r="K133" s="15"/>
      <c r="L133" s="15"/>
    </row>
    <row r="134" spans="1:12">
      <c r="A134" s="10" t="str">
        <f>IF(E134&lt;&gt;"",1+MAX($A$36:A133),"")</f>
        <v/>
      </c>
      <c r="K134" s="15"/>
      <c r="L134" s="15"/>
    </row>
    <row r="135" spans="1:12">
      <c r="A135" s="10" t="str">
        <f>IF(E135&lt;&gt;"",1+MAX($A$36:A134),"")</f>
        <v/>
      </c>
      <c r="K135" s="15"/>
      <c r="L135" s="15"/>
    </row>
    <row r="136" spans="1:12">
      <c r="A136" s="10" t="str">
        <f>IF(E136&lt;&gt;"",1+MAX($A$36:A135),"")</f>
        <v/>
      </c>
      <c r="K136" s="15"/>
      <c r="L136" s="15"/>
    </row>
    <row r="137" spans="1:12">
      <c r="A137" s="10" t="str">
        <f>IF(E137&lt;&gt;"",1+MAX($A$36:A136),"")</f>
        <v/>
      </c>
      <c r="K137" s="15"/>
      <c r="L137" s="15"/>
    </row>
    <row r="138" spans="1:12">
      <c r="A138" s="10" t="str">
        <f>IF(E138&lt;&gt;"",1+MAX($A$36:A137),"")</f>
        <v/>
      </c>
      <c r="K138" s="15"/>
      <c r="L138" s="15"/>
    </row>
    <row r="139" spans="1:12">
      <c r="A139" s="10" t="str">
        <f>IF(E139&lt;&gt;"",1+MAX($A$36:A138),"")</f>
        <v/>
      </c>
      <c r="K139" s="15"/>
      <c r="L139" s="15"/>
    </row>
    <row r="140" spans="1:12">
      <c r="A140" s="10" t="str">
        <f>IF(E140&lt;&gt;"",1+MAX($A$36:A139),"")</f>
        <v/>
      </c>
      <c r="K140" s="15"/>
      <c r="L140" s="15"/>
    </row>
    <row r="141" spans="1:12">
      <c r="A141" s="10" t="str">
        <f>IF(E141&lt;&gt;"",1+MAX($A$36:A140),"")</f>
        <v/>
      </c>
      <c r="K141" s="15"/>
      <c r="L141" s="15"/>
    </row>
    <row r="142" spans="1:12">
      <c r="A142" s="10" t="str">
        <f>IF(E142&lt;&gt;"",1+MAX($A$36:A141),"")</f>
        <v/>
      </c>
      <c r="K142" s="15"/>
      <c r="L142" s="15"/>
    </row>
    <row r="143" spans="1:12">
      <c r="A143" s="10" t="str">
        <f>IF(E143&lt;&gt;"",1+MAX($A$36:A142),"")</f>
        <v/>
      </c>
      <c r="K143" s="15"/>
      <c r="L143" s="15"/>
    </row>
    <row r="144" spans="1:12">
      <c r="A144" s="10" t="str">
        <f>IF(E144&lt;&gt;"",1+MAX($A$36:A143),"")</f>
        <v/>
      </c>
      <c r="K144" s="15"/>
      <c r="L144" s="15"/>
    </row>
    <row r="145" spans="1:12">
      <c r="A145" s="10" t="str">
        <f>IF(E145&lt;&gt;"",1+MAX($A$36:A144),"")</f>
        <v/>
      </c>
      <c r="K145" s="15"/>
      <c r="L145" s="15"/>
    </row>
    <row r="146" spans="1:12">
      <c r="A146" s="10" t="str">
        <f>IF(E146&lt;&gt;"",1+MAX($A$36:A145),"")</f>
        <v/>
      </c>
      <c r="K146" s="15"/>
      <c r="L146" s="15"/>
    </row>
    <row r="147" spans="1:12">
      <c r="A147" s="10" t="str">
        <f>IF(E147&lt;&gt;"",1+MAX($A$36:A146),"")</f>
        <v/>
      </c>
      <c r="K147" s="15"/>
      <c r="L147" s="15"/>
    </row>
    <row r="148" spans="1:12">
      <c r="A148" s="10" t="str">
        <f>IF(E148&lt;&gt;"",1+MAX($A$36:A147),"")</f>
        <v/>
      </c>
      <c r="K148" s="15"/>
      <c r="L148" s="15"/>
    </row>
    <row r="149" spans="1:12">
      <c r="A149" s="10" t="str">
        <f>IF(E149&lt;&gt;"",1+MAX($A$36:A148),"")</f>
        <v/>
      </c>
      <c r="K149" s="15"/>
      <c r="L149" s="15"/>
    </row>
    <row r="150" spans="1:12">
      <c r="A150" s="10" t="str">
        <f>IF(E150&lt;&gt;"",1+MAX($A$36:A149),"")</f>
        <v/>
      </c>
      <c r="K150" s="15"/>
      <c r="L150" s="15"/>
    </row>
    <row r="151" spans="1:12">
      <c r="A151" s="10" t="str">
        <f>IF(E151&lt;&gt;"",1+MAX($A$36:A150),"")</f>
        <v/>
      </c>
      <c r="K151" s="15"/>
      <c r="L151" s="15"/>
    </row>
    <row r="152" spans="1:12">
      <c r="A152" s="10" t="str">
        <f>IF(E152&lt;&gt;"",1+MAX($A$36:A151),"")</f>
        <v/>
      </c>
      <c r="K152" s="15"/>
      <c r="L152" s="15"/>
    </row>
    <row r="153" spans="1:12">
      <c r="A153" s="10" t="str">
        <f>IF(E153&lt;&gt;"",1+MAX($A$36:A152),"")</f>
        <v/>
      </c>
      <c r="K153" s="15"/>
      <c r="L153" s="15"/>
    </row>
    <row r="154" spans="1:12">
      <c r="A154" s="10" t="str">
        <f>IF(E154&lt;&gt;"",1+MAX($A$36:A153),"")</f>
        <v/>
      </c>
      <c r="K154" s="15"/>
      <c r="L154" s="15"/>
    </row>
    <row r="155" spans="1:12">
      <c r="A155" s="10" t="str">
        <f>IF(E155&lt;&gt;"",1+MAX($A$36:A154),"")</f>
        <v/>
      </c>
      <c r="K155" s="15"/>
      <c r="L155" s="15"/>
    </row>
    <row r="156" spans="1:12">
      <c r="A156" s="10" t="str">
        <f>IF(E156&lt;&gt;"",1+MAX($A$36:A155),"")</f>
        <v/>
      </c>
      <c r="K156" s="15"/>
      <c r="L156" s="15"/>
    </row>
    <row r="157" spans="1:12">
      <c r="A157" s="10" t="str">
        <f>IF(E157&lt;&gt;"",1+MAX($A$36:A156),"")</f>
        <v/>
      </c>
      <c r="K157" s="15"/>
      <c r="L157" s="15"/>
    </row>
    <row r="158" spans="1:12">
      <c r="A158" s="10" t="str">
        <f>IF(E158&lt;&gt;"",1+MAX($A$36:A157),"")</f>
        <v/>
      </c>
      <c r="K158" s="15"/>
      <c r="L158" s="15"/>
    </row>
    <row r="159" spans="1:12">
      <c r="A159" s="10" t="str">
        <f>IF(E159&lt;&gt;"",1+MAX($A$36:A158),"")</f>
        <v/>
      </c>
      <c r="K159" s="15"/>
      <c r="L159" s="15"/>
    </row>
    <row r="160" spans="1:12">
      <c r="A160" s="10" t="str">
        <f>IF(E160&lt;&gt;"",1+MAX($A$36:A159),"")</f>
        <v/>
      </c>
      <c r="K160" s="15"/>
      <c r="L160" s="15"/>
    </row>
    <row r="161" spans="1:12">
      <c r="A161" s="10" t="str">
        <f>IF(E161&lt;&gt;"",1+MAX($A$36:A160),"")</f>
        <v/>
      </c>
      <c r="K161" s="15"/>
      <c r="L161" s="15"/>
    </row>
    <row r="162" spans="1:12">
      <c r="A162" s="10" t="str">
        <f>IF(E162&lt;&gt;"",1+MAX($A$36:A161),"")</f>
        <v/>
      </c>
      <c r="K162" s="15"/>
      <c r="L162" s="15"/>
    </row>
    <row r="163" spans="1:12">
      <c r="A163" s="10" t="str">
        <f>IF(E163&lt;&gt;"",1+MAX($A$36:A162),"")</f>
        <v/>
      </c>
      <c r="K163" s="15"/>
      <c r="L163" s="15"/>
    </row>
    <row r="164" spans="1:12">
      <c r="A164" s="10" t="str">
        <f>IF(E164&lt;&gt;"",1+MAX($A$36:A163),"")</f>
        <v/>
      </c>
      <c r="K164" s="15"/>
      <c r="L164" s="15"/>
    </row>
    <row r="165" spans="1:12">
      <c r="A165" s="10" t="str">
        <f>IF(E165&lt;&gt;"",1+MAX($A$36:A164),"")</f>
        <v/>
      </c>
      <c r="K165" s="15"/>
      <c r="L165" s="15"/>
    </row>
    <row r="166" spans="1:12">
      <c r="A166" s="10" t="str">
        <f>IF(E166&lt;&gt;"",1+MAX($A$36:A165),"")</f>
        <v/>
      </c>
      <c r="K166" s="15"/>
      <c r="L166" s="15"/>
    </row>
    <row r="167" spans="1:12">
      <c r="A167" s="10" t="str">
        <f>IF(E167&lt;&gt;"",1+MAX($A$36:A166),"")</f>
        <v/>
      </c>
      <c r="K167" s="15"/>
      <c r="L167" s="15"/>
    </row>
    <row r="168" spans="1:12">
      <c r="A168" s="10" t="str">
        <f>IF(E168&lt;&gt;"",1+MAX($A$36:A167),"")</f>
        <v/>
      </c>
      <c r="K168" s="15"/>
      <c r="L168" s="15"/>
    </row>
    <row r="169" spans="1:12">
      <c r="A169" s="10" t="str">
        <f>IF(E169&lt;&gt;"",1+MAX($A$36:A168),"")</f>
        <v/>
      </c>
      <c r="K169" s="15"/>
      <c r="L169" s="15"/>
    </row>
    <row r="170" spans="1:12">
      <c r="A170" s="10" t="str">
        <f>IF(E170&lt;&gt;"",1+MAX($A$36:A169),"")</f>
        <v/>
      </c>
      <c r="K170" s="15"/>
      <c r="L170" s="15"/>
    </row>
    <row r="171" spans="1:12">
      <c r="A171" s="10" t="str">
        <f>IF(E171&lt;&gt;"",1+MAX($A$36:A170),"")</f>
        <v/>
      </c>
      <c r="K171" s="15"/>
      <c r="L171" s="15"/>
    </row>
    <row r="172" spans="1:12">
      <c r="A172" s="10" t="str">
        <f>IF(E172&lt;&gt;"",1+MAX($A$36:A171),"")</f>
        <v/>
      </c>
      <c r="K172" s="15"/>
      <c r="L172" s="15"/>
    </row>
    <row r="173" spans="1:12">
      <c r="A173" s="10" t="str">
        <f>IF(E173&lt;&gt;"",1+MAX($A$36:A172),"")</f>
        <v/>
      </c>
      <c r="K173" s="15"/>
      <c r="L173" s="15"/>
    </row>
    <row r="174" spans="1:12">
      <c r="A174" s="10" t="str">
        <f>IF(E174&lt;&gt;"",1+MAX($A$36:A173),"")</f>
        <v/>
      </c>
      <c r="K174" s="15"/>
      <c r="L174" s="15"/>
    </row>
    <row r="175" spans="1:12">
      <c r="A175" s="10" t="str">
        <f>IF(E175&lt;&gt;"",1+MAX($A$36:A174),"")</f>
        <v/>
      </c>
      <c r="K175" s="15"/>
      <c r="L175" s="15"/>
    </row>
    <row r="176" spans="1:12">
      <c r="A176" s="10" t="str">
        <f>IF(E176&lt;&gt;"",1+MAX($A$36:A175),"")</f>
        <v/>
      </c>
      <c r="K176" s="15"/>
      <c r="L176" s="15"/>
    </row>
    <row r="177" spans="1:12">
      <c r="A177" s="10" t="str">
        <f>IF(E177&lt;&gt;"",1+MAX($A$36:A176),"")</f>
        <v/>
      </c>
      <c r="K177" s="15"/>
      <c r="L177" s="15"/>
    </row>
    <row r="178" spans="1:12">
      <c r="A178" s="10" t="str">
        <f>IF(E178&lt;&gt;"",1+MAX($A$36:A177),"")</f>
        <v/>
      </c>
      <c r="K178" s="15"/>
      <c r="L178" s="15"/>
    </row>
    <row r="179" spans="1:12">
      <c r="A179" s="10" t="str">
        <f>IF(E179&lt;&gt;"",1+MAX($A$36:A178),"")</f>
        <v/>
      </c>
      <c r="K179" s="15"/>
      <c r="L179" s="15"/>
    </row>
    <row r="180" spans="1:12">
      <c r="A180" s="10" t="str">
        <f>IF(E180&lt;&gt;"",1+MAX($A$36:A179),"")</f>
        <v/>
      </c>
      <c r="K180" s="15"/>
      <c r="L180" s="15"/>
    </row>
    <row r="181" spans="1:12">
      <c r="A181" s="10" t="str">
        <f>IF(E181&lt;&gt;"",1+MAX($A$36:A180),"")</f>
        <v/>
      </c>
      <c r="K181" s="15"/>
      <c r="L181" s="15"/>
    </row>
    <row r="182" spans="1:12">
      <c r="A182" s="10" t="str">
        <f>IF(E182&lt;&gt;"",1+MAX($A$36:A181),"")</f>
        <v/>
      </c>
      <c r="K182" s="15"/>
      <c r="L182" s="15"/>
    </row>
    <row r="183" spans="1:12">
      <c r="A183" s="10" t="str">
        <f>IF(E183&lt;&gt;"",1+MAX($A$36:A182),"")</f>
        <v/>
      </c>
      <c r="K183" s="15"/>
      <c r="L183" s="15"/>
    </row>
    <row r="184" spans="1:12">
      <c r="A184" s="10" t="str">
        <f>IF(E184&lt;&gt;"",1+MAX($A$36:A183),"")</f>
        <v/>
      </c>
      <c r="K184" s="15"/>
      <c r="L184" s="15"/>
    </row>
    <row r="185" spans="1:12">
      <c r="A185" s="10" t="str">
        <f>IF(E185&lt;&gt;"",1+MAX($A$36:A184),"")</f>
        <v/>
      </c>
      <c r="K185" s="15"/>
      <c r="L185" s="15"/>
    </row>
    <row r="186" spans="1:12">
      <c r="A186" s="10" t="str">
        <f>IF(E186&lt;&gt;"",1+MAX($A$36:A185),"")</f>
        <v/>
      </c>
      <c r="K186" s="15"/>
      <c r="L186" s="15"/>
    </row>
    <row r="187" spans="1:12">
      <c r="A187" s="10" t="str">
        <f>IF(E187&lt;&gt;"",1+MAX($A$36:A186),"")</f>
        <v/>
      </c>
      <c r="K187" s="15"/>
      <c r="L187" s="15"/>
    </row>
    <row r="188" spans="1:12">
      <c r="A188" s="10" t="str">
        <f>IF(E188&lt;&gt;"",1+MAX($A$36:A187),"")</f>
        <v/>
      </c>
      <c r="K188" s="15"/>
      <c r="L188" s="15"/>
    </row>
    <row r="189" spans="1:12">
      <c r="A189" s="10" t="str">
        <f>IF(E189&lt;&gt;"",1+MAX($A$36:A188),"")</f>
        <v/>
      </c>
      <c r="K189" s="15"/>
      <c r="L189" s="15"/>
    </row>
    <row r="190" spans="1:12">
      <c r="A190" s="10" t="str">
        <f>IF(E190&lt;&gt;"",1+MAX($A$36:A189),"")</f>
        <v/>
      </c>
      <c r="K190" s="15"/>
      <c r="L190" s="15"/>
    </row>
    <row r="191" spans="1:12">
      <c r="A191" s="10" t="str">
        <f>IF(E191&lt;&gt;"",1+MAX($A$36:A190),"")</f>
        <v/>
      </c>
      <c r="K191" s="15"/>
      <c r="L191" s="15"/>
    </row>
    <row r="192" spans="1:12">
      <c r="A192" s="10" t="str">
        <f>IF(E192&lt;&gt;"",1+MAX($A$36:A191),"")</f>
        <v/>
      </c>
      <c r="K192" s="15"/>
      <c r="L192" s="15"/>
    </row>
    <row r="193" spans="1:12">
      <c r="A193" s="10" t="str">
        <f>IF(E193&lt;&gt;"",1+MAX($A$36:A192),"")</f>
        <v/>
      </c>
      <c r="K193" s="15"/>
      <c r="L193" s="15"/>
    </row>
    <row r="194" spans="1:12">
      <c r="A194" s="10" t="str">
        <f>IF(E194&lt;&gt;"",1+MAX($A$36:A193),"")</f>
        <v/>
      </c>
      <c r="K194" s="15"/>
      <c r="L194" s="15"/>
    </row>
    <row r="195" spans="1:12">
      <c r="A195" s="10" t="str">
        <f>IF(E195&lt;&gt;"",1+MAX($A$36:A194),"")</f>
        <v/>
      </c>
      <c r="K195" s="15"/>
      <c r="L195" s="15"/>
    </row>
    <row r="196" spans="1:12">
      <c r="K196" s="15"/>
      <c r="L196" s="15"/>
    </row>
    <row r="197" spans="1:12">
      <c r="K197" s="15"/>
      <c r="L197" s="15"/>
    </row>
    <row r="198" spans="1:12">
      <c r="K198" s="15"/>
      <c r="L198" s="15"/>
    </row>
    <row r="199" spans="1:12">
      <c r="K199" s="15"/>
      <c r="L199" s="15"/>
    </row>
    <row r="200" spans="1:12">
      <c r="K200" s="15"/>
      <c r="L200" s="15"/>
    </row>
    <row r="201" spans="1:12">
      <c r="K201" s="15"/>
      <c r="L201" s="15"/>
    </row>
    <row r="202" spans="1:12">
      <c r="K202" s="15"/>
      <c r="L202" s="15"/>
    </row>
    <row r="203" spans="1:12">
      <c r="K203" s="15"/>
      <c r="L203" s="15"/>
    </row>
    <row r="204" spans="1:12">
      <c r="K204" s="15"/>
      <c r="L204" s="15"/>
    </row>
    <row r="205" spans="1:12">
      <c r="K205" s="15"/>
      <c r="L205" s="15"/>
    </row>
    <row r="206" spans="1:12">
      <c r="K206" s="15"/>
      <c r="L206" s="15"/>
    </row>
    <row r="207" spans="1:12">
      <c r="K207" s="15"/>
      <c r="L207" s="15"/>
    </row>
    <row r="208" spans="1:12">
      <c r="K208" s="15"/>
      <c r="L208" s="15"/>
    </row>
    <row r="209" spans="11:12">
      <c r="K209" s="15"/>
      <c r="L209" s="15"/>
    </row>
    <row r="210" spans="11:12">
      <c r="K210" s="15"/>
      <c r="L210" s="15"/>
    </row>
    <row r="211" spans="11:12">
      <c r="K211" s="15"/>
      <c r="L211" s="15"/>
    </row>
    <row r="212" spans="11:12">
      <c r="K212" s="15"/>
      <c r="L212" s="15"/>
    </row>
    <row r="213" spans="11:12">
      <c r="K213" s="15"/>
      <c r="L213" s="15"/>
    </row>
    <row r="214" spans="11:12">
      <c r="K214" s="15"/>
      <c r="L214" s="15"/>
    </row>
    <row r="215" spans="11:12">
      <c r="K215" s="15"/>
      <c r="L215" s="15"/>
    </row>
    <row r="216" spans="11:12">
      <c r="K216" s="15"/>
      <c r="L216" s="15"/>
    </row>
    <row r="217" spans="11:12">
      <c r="K217" s="15"/>
      <c r="L217" s="15"/>
    </row>
    <row r="218" spans="11:12">
      <c r="K218" s="15"/>
      <c r="L218" s="15"/>
    </row>
    <row r="219" spans="11:12">
      <c r="K219" s="15"/>
      <c r="L219" s="15"/>
    </row>
    <row r="220" spans="11:12">
      <c r="K220" s="15"/>
      <c r="L220" s="15"/>
    </row>
    <row r="221" spans="11:12">
      <c r="K221" s="15"/>
      <c r="L221" s="15"/>
    </row>
    <row r="222" spans="11:12">
      <c r="K222" s="15"/>
      <c r="L222" s="15"/>
    </row>
    <row r="223" spans="11:12">
      <c r="K223" s="15"/>
      <c r="L223" s="15"/>
    </row>
    <row r="224" spans="11:12">
      <c r="K224" s="15"/>
      <c r="L224" s="15"/>
    </row>
    <row r="225" spans="11:12">
      <c r="K225" s="15"/>
      <c r="L225" s="15"/>
    </row>
    <row r="226" spans="11:12">
      <c r="K226" s="15"/>
      <c r="L226" s="15"/>
    </row>
    <row r="227" spans="11:12">
      <c r="K227" s="15"/>
      <c r="L227" s="15"/>
    </row>
    <row r="228" spans="11:12">
      <c r="K228" s="15"/>
      <c r="L228" s="15"/>
    </row>
    <row r="229" spans="11:12">
      <c r="K229" s="15"/>
      <c r="L229" s="15"/>
    </row>
    <row r="230" spans="11:12">
      <c r="K230" s="15"/>
      <c r="L230" s="15"/>
    </row>
    <row r="231" spans="11:12">
      <c r="K231" s="15"/>
      <c r="L231" s="15"/>
    </row>
    <row r="232" spans="11:12">
      <c r="K232" s="15"/>
      <c r="L232" s="15"/>
    </row>
    <row r="233" spans="11:12">
      <c r="K233" s="15"/>
      <c r="L233" s="15"/>
    </row>
    <row r="234" spans="11:12">
      <c r="K234" s="15"/>
      <c r="L234" s="15"/>
    </row>
    <row r="235" spans="11:12">
      <c r="K235" s="15"/>
      <c r="L235" s="15"/>
    </row>
    <row r="236" spans="11:12">
      <c r="K236" s="15"/>
      <c r="L236" s="15"/>
    </row>
    <row r="237" spans="11:12">
      <c r="K237" s="15"/>
      <c r="L237" s="15"/>
    </row>
    <row r="238" spans="11:12">
      <c r="K238" s="15"/>
      <c r="L238" s="15"/>
    </row>
    <row r="239" spans="11:12">
      <c r="K239" s="15"/>
      <c r="L239" s="15"/>
    </row>
    <row r="240" spans="11:12">
      <c r="K240" s="15"/>
      <c r="L240" s="15"/>
    </row>
    <row r="241" spans="11:12">
      <c r="K241" s="15"/>
      <c r="L241" s="15"/>
    </row>
    <row r="242" spans="11:12">
      <c r="K242" s="15"/>
      <c r="L242" s="15"/>
    </row>
    <row r="243" spans="11:12">
      <c r="K243" s="15"/>
      <c r="L243" s="15"/>
    </row>
    <row r="244" spans="11:12">
      <c r="K244" s="15"/>
      <c r="L244" s="15"/>
    </row>
    <row r="245" spans="11:12">
      <c r="K245" s="15"/>
      <c r="L245" s="15"/>
    </row>
    <row r="246" spans="11:12">
      <c r="K246" s="15"/>
      <c r="L246" s="15"/>
    </row>
    <row r="247" spans="11:12">
      <c r="K247" s="15"/>
      <c r="L247" s="15"/>
    </row>
    <row r="248" spans="11:12">
      <c r="K248" s="15"/>
      <c r="L248" s="15"/>
    </row>
    <row r="249" spans="11:12">
      <c r="K249" s="15"/>
      <c r="L249" s="15"/>
    </row>
    <row r="250" spans="11:12">
      <c r="K250" s="15"/>
      <c r="L250" s="15"/>
    </row>
    <row r="251" spans="11:12">
      <c r="K251" s="15"/>
      <c r="L251" s="15"/>
    </row>
    <row r="252" spans="11:12">
      <c r="K252" s="15"/>
      <c r="L252" s="15"/>
    </row>
    <row r="253" spans="11:12">
      <c r="K253" s="15"/>
      <c r="L253" s="15"/>
    </row>
    <row r="254" spans="11:12">
      <c r="K254" s="15"/>
      <c r="L254" s="15"/>
    </row>
    <row r="255" spans="11:12">
      <c r="K255" s="15"/>
      <c r="L255" s="15"/>
    </row>
    <row r="256" spans="11:12">
      <c r="K256" s="15"/>
      <c r="L256" s="15"/>
    </row>
    <row r="257" spans="11:12">
      <c r="K257" s="15"/>
      <c r="L257" s="15"/>
    </row>
    <row r="258" spans="11:12">
      <c r="K258" s="15"/>
      <c r="L258" s="15"/>
    </row>
    <row r="259" spans="11:12">
      <c r="K259" s="15"/>
      <c r="L259" s="15"/>
    </row>
    <row r="260" spans="11:12">
      <c r="K260" s="15"/>
      <c r="L260" s="15"/>
    </row>
    <row r="261" spans="11:12">
      <c r="K261" s="15"/>
      <c r="L261" s="15"/>
    </row>
    <row r="262" spans="11:12">
      <c r="K262" s="15"/>
      <c r="L262" s="15"/>
    </row>
    <row r="263" spans="11:12">
      <c r="K263" s="15"/>
      <c r="L263" s="15"/>
    </row>
    <row r="264" spans="11:12">
      <c r="K264" s="15"/>
      <c r="L264" s="15"/>
    </row>
    <row r="265" spans="11:12">
      <c r="K265" s="15"/>
      <c r="L265" s="15"/>
    </row>
    <row r="266" spans="11:12">
      <c r="K266" s="15"/>
      <c r="L266" s="15"/>
    </row>
    <row r="267" spans="11:12">
      <c r="K267" s="15"/>
      <c r="L267" s="15"/>
    </row>
    <row r="268" spans="11:12">
      <c r="K268" s="15"/>
      <c r="L268" s="15"/>
    </row>
    <row r="269" spans="11:12">
      <c r="K269" s="15"/>
      <c r="L269" s="15"/>
    </row>
    <row r="270" spans="11:12">
      <c r="K270" s="15"/>
      <c r="L270" s="15"/>
    </row>
    <row r="271" spans="11:12">
      <c r="K271" s="15"/>
      <c r="L271" s="15"/>
    </row>
    <row r="272" spans="11:12">
      <c r="K272" s="15"/>
      <c r="L272" s="15"/>
    </row>
    <row r="273" spans="11:12">
      <c r="K273" s="15"/>
      <c r="L273" s="15"/>
    </row>
    <row r="274" spans="11:12">
      <c r="K274" s="15"/>
      <c r="L274" s="15"/>
    </row>
    <row r="275" spans="11:12">
      <c r="K275" s="15"/>
      <c r="L275" s="15"/>
    </row>
    <row r="276" spans="11:12">
      <c r="K276" s="15"/>
      <c r="L276" s="15"/>
    </row>
    <row r="277" spans="11:12">
      <c r="K277" s="15"/>
      <c r="L277" s="15"/>
    </row>
    <row r="278" spans="11:12">
      <c r="K278" s="15"/>
      <c r="L278" s="15"/>
    </row>
    <row r="279" spans="11:12">
      <c r="K279" s="15"/>
      <c r="L279" s="15"/>
    </row>
    <row r="280" spans="11:12">
      <c r="K280" s="15"/>
      <c r="L280" s="15"/>
    </row>
    <row r="281" spans="11:12">
      <c r="K281" s="15"/>
      <c r="L281" s="15"/>
    </row>
    <row r="282" spans="11:12">
      <c r="K282" s="15"/>
      <c r="L282" s="15"/>
    </row>
    <row r="283" spans="11:12">
      <c r="K283" s="15"/>
      <c r="L283" s="15"/>
    </row>
    <row r="284" spans="11:12">
      <c r="K284" s="15"/>
      <c r="L284" s="15"/>
    </row>
    <row r="285" spans="11:12">
      <c r="K285" s="15"/>
      <c r="L285" s="15"/>
    </row>
    <row r="286" spans="11:12">
      <c r="K286" s="15"/>
      <c r="L286" s="15"/>
    </row>
    <row r="287" spans="11:12">
      <c r="K287" s="15"/>
      <c r="L287" s="15"/>
    </row>
    <row r="288" spans="11:12">
      <c r="K288" s="15"/>
      <c r="L288" s="15"/>
    </row>
    <row r="289" spans="11:12">
      <c r="K289" s="15"/>
      <c r="L289" s="15"/>
    </row>
    <row r="290" spans="11:12">
      <c r="K290" s="15"/>
      <c r="L290" s="15"/>
    </row>
    <row r="291" spans="11:12">
      <c r="K291" s="15"/>
      <c r="L291" s="15"/>
    </row>
    <row r="292" spans="11:12">
      <c r="K292" s="15"/>
      <c r="L292" s="15"/>
    </row>
    <row r="293" spans="11:12">
      <c r="K293" s="15"/>
      <c r="L293" s="15"/>
    </row>
    <row r="294" spans="11:12">
      <c r="K294" s="15"/>
      <c r="L294" s="15"/>
    </row>
    <row r="295" spans="11:12">
      <c r="K295" s="15"/>
      <c r="L295" s="15"/>
    </row>
    <row r="296" spans="11:12">
      <c r="K296" s="15"/>
      <c r="L296" s="15"/>
    </row>
    <row r="297" spans="11:12">
      <c r="K297" s="15"/>
      <c r="L297" s="15"/>
    </row>
    <row r="298" spans="11:12">
      <c r="K298" s="15"/>
      <c r="L298" s="15"/>
    </row>
    <row r="299" spans="11:12">
      <c r="K299" s="15"/>
      <c r="L299" s="15"/>
    </row>
    <row r="300" spans="11:12">
      <c r="K300" s="15"/>
      <c r="L300" s="15"/>
    </row>
    <row r="301" spans="11:12">
      <c r="K301" s="15"/>
      <c r="L301" s="15"/>
    </row>
    <row r="302" spans="11:12">
      <c r="K302" s="15"/>
      <c r="L302" s="15"/>
    </row>
    <row r="303" spans="11:12">
      <c r="K303" s="15"/>
      <c r="L303" s="15"/>
    </row>
    <row r="304" spans="11:12">
      <c r="K304" s="15"/>
      <c r="L304" s="15"/>
    </row>
    <row r="305" spans="11:12">
      <c r="K305" s="15"/>
      <c r="L305" s="15"/>
    </row>
    <row r="306" spans="11:12">
      <c r="K306" s="15"/>
      <c r="L306" s="15"/>
    </row>
    <row r="307" spans="11:12">
      <c r="K307" s="15"/>
      <c r="L307" s="15"/>
    </row>
    <row r="308" spans="11:12">
      <c r="K308" s="15"/>
      <c r="L308" s="15"/>
    </row>
    <row r="309" spans="11:12">
      <c r="K309" s="15"/>
      <c r="L309" s="15"/>
    </row>
    <row r="310" spans="11:12">
      <c r="K310" s="15"/>
      <c r="L310" s="15"/>
    </row>
    <row r="311" spans="11:12">
      <c r="K311" s="15"/>
      <c r="L311" s="15"/>
    </row>
    <row r="312" spans="11:12">
      <c r="K312" s="15"/>
      <c r="L312" s="15"/>
    </row>
    <row r="313" spans="11:12">
      <c r="K313" s="15"/>
      <c r="L313" s="15"/>
    </row>
    <row r="314" spans="11:12">
      <c r="K314" s="15"/>
      <c r="L314" s="15"/>
    </row>
    <row r="315" spans="11:12">
      <c r="K315" s="15"/>
      <c r="L315" s="15"/>
    </row>
    <row r="316" spans="11:12">
      <c r="K316" s="15"/>
      <c r="L316" s="15"/>
    </row>
    <row r="317" spans="11:12">
      <c r="K317" s="15"/>
      <c r="L317" s="15"/>
    </row>
    <row r="318" spans="11:12">
      <c r="K318" s="15"/>
      <c r="L318" s="15"/>
    </row>
    <row r="319" spans="11:12">
      <c r="K319" s="15"/>
      <c r="L319" s="15"/>
    </row>
    <row r="320" spans="11:12">
      <c r="K320" s="15"/>
      <c r="L320" s="15"/>
    </row>
    <row r="321" spans="11:12">
      <c r="K321" s="15"/>
      <c r="L321" s="15"/>
    </row>
    <row r="322" spans="11:12">
      <c r="K322" s="15"/>
      <c r="L322" s="15"/>
    </row>
    <row r="323" spans="11:12">
      <c r="K323" s="15"/>
      <c r="L323" s="15"/>
    </row>
    <row r="324" spans="11:12">
      <c r="K324" s="15"/>
      <c r="L324" s="15"/>
    </row>
    <row r="325" spans="11:12">
      <c r="K325" s="15"/>
      <c r="L325" s="15"/>
    </row>
    <row r="326" spans="11:12">
      <c r="K326" s="15"/>
      <c r="L326" s="15"/>
    </row>
    <row r="327" spans="11:12">
      <c r="K327" s="15"/>
      <c r="L327" s="15"/>
    </row>
    <row r="328" spans="11:12">
      <c r="K328" s="15"/>
      <c r="L328" s="15"/>
    </row>
    <row r="329" spans="11:12">
      <c r="K329" s="15"/>
      <c r="L329" s="15"/>
    </row>
    <row r="330" spans="11:12">
      <c r="K330" s="15"/>
      <c r="L330" s="15"/>
    </row>
    <row r="331" spans="11:12">
      <c r="K331" s="15"/>
      <c r="L331" s="15"/>
    </row>
    <row r="332" spans="11:12">
      <c r="K332" s="15"/>
      <c r="L332" s="15"/>
    </row>
    <row r="333" spans="11:12">
      <c r="K333" s="15"/>
      <c r="L333" s="15"/>
    </row>
    <row r="334" spans="11:12">
      <c r="K334" s="15"/>
      <c r="L334" s="15"/>
    </row>
    <row r="335" spans="11:12">
      <c r="K335" s="15"/>
      <c r="L335" s="15"/>
    </row>
    <row r="336" spans="11:12">
      <c r="K336" s="15"/>
      <c r="L336" s="15"/>
    </row>
    <row r="337" spans="11:12">
      <c r="K337" s="15"/>
      <c r="L337" s="15"/>
    </row>
    <row r="338" spans="11:12">
      <c r="K338" s="15"/>
      <c r="L338" s="15"/>
    </row>
    <row r="339" spans="11:12">
      <c r="K339" s="15"/>
      <c r="L339" s="15"/>
    </row>
    <row r="340" spans="11:12">
      <c r="K340" s="15"/>
      <c r="L340" s="15"/>
    </row>
    <row r="341" spans="11:12">
      <c r="K341" s="15"/>
      <c r="L341" s="15"/>
    </row>
    <row r="342" spans="11:12">
      <c r="K342" s="15"/>
      <c r="L342" s="15"/>
    </row>
    <row r="343" spans="11:12">
      <c r="K343" s="15"/>
      <c r="L343" s="15"/>
    </row>
    <row r="344" spans="11:12">
      <c r="K344" s="15"/>
      <c r="L344" s="15"/>
    </row>
    <row r="345" spans="11:12">
      <c r="K345" s="15"/>
      <c r="L345" s="15"/>
    </row>
    <row r="346" spans="11:12">
      <c r="K346" s="15"/>
      <c r="L346" s="15"/>
    </row>
    <row r="347" spans="11:12">
      <c r="K347" s="15"/>
      <c r="L347" s="15"/>
    </row>
    <row r="348" spans="11:12">
      <c r="K348" s="15"/>
      <c r="L348" s="15"/>
    </row>
    <row r="349" spans="11:12">
      <c r="K349" s="15"/>
      <c r="L349" s="15"/>
    </row>
    <row r="350" spans="11:12">
      <c r="K350" s="15"/>
      <c r="L350" s="15"/>
    </row>
    <row r="351" spans="11:12">
      <c r="K351" s="15"/>
      <c r="L351" s="15"/>
    </row>
    <row r="352" spans="11:12">
      <c r="K352" s="15"/>
      <c r="L352" s="15"/>
    </row>
    <row r="353" spans="11:12">
      <c r="K353" s="15"/>
      <c r="L353" s="15"/>
    </row>
    <row r="354" spans="11:12">
      <c r="K354" s="15"/>
      <c r="L354" s="15"/>
    </row>
    <row r="355" spans="11:12">
      <c r="K355" s="15"/>
      <c r="L355" s="15"/>
    </row>
    <row r="356" spans="11:12">
      <c r="K356" s="15"/>
      <c r="L356" s="15"/>
    </row>
    <row r="357" spans="11:12">
      <c r="K357" s="15"/>
      <c r="L357" s="15"/>
    </row>
    <row r="358" spans="11:12">
      <c r="K358" s="15"/>
      <c r="L358" s="15"/>
    </row>
    <row r="359" spans="11:12">
      <c r="K359" s="15"/>
      <c r="L359" s="15"/>
    </row>
    <row r="360" spans="11:12">
      <c r="K360" s="15"/>
      <c r="L360" s="15"/>
    </row>
    <row r="361" spans="11:12">
      <c r="K361" s="15"/>
      <c r="L361" s="15"/>
    </row>
    <row r="362" spans="11:12">
      <c r="K362" s="15"/>
      <c r="L362" s="15"/>
    </row>
    <row r="363" spans="11:12">
      <c r="K363" s="15"/>
      <c r="L363" s="15"/>
    </row>
    <row r="364" spans="11:12">
      <c r="K364" s="15"/>
      <c r="L364" s="15"/>
    </row>
    <row r="365" spans="11:12">
      <c r="K365" s="15"/>
      <c r="L365" s="15"/>
    </row>
    <row r="366" spans="11:12">
      <c r="K366" s="15"/>
      <c r="L366" s="15"/>
    </row>
    <row r="367" spans="11:12">
      <c r="K367" s="15"/>
      <c r="L367" s="15"/>
    </row>
    <row r="368" spans="11:12">
      <c r="K368" s="15"/>
      <c r="L368" s="15"/>
    </row>
    <row r="369" spans="11:12">
      <c r="K369" s="15"/>
      <c r="L369" s="15"/>
    </row>
    <row r="370" spans="11:12">
      <c r="K370" s="15"/>
      <c r="L370" s="15"/>
    </row>
    <row r="371" spans="11:12">
      <c r="K371" s="15"/>
      <c r="L371" s="15"/>
    </row>
    <row r="372" spans="11:12">
      <c r="K372" s="15"/>
      <c r="L372" s="15"/>
    </row>
    <row r="373" spans="11:12">
      <c r="K373" s="15"/>
      <c r="L373" s="15"/>
    </row>
    <row r="374" spans="11:12">
      <c r="K374" s="15"/>
      <c r="L374" s="15"/>
    </row>
    <row r="375" spans="11:12">
      <c r="K375" s="15"/>
      <c r="L375" s="15"/>
    </row>
    <row r="376" spans="11:12">
      <c r="K376" s="15"/>
      <c r="L376" s="15"/>
    </row>
    <row r="377" spans="11:12">
      <c r="K377" s="15"/>
      <c r="L377" s="15"/>
    </row>
    <row r="378" spans="11:12">
      <c r="K378" s="15"/>
      <c r="L378" s="15"/>
    </row>
    <row r="379" spans="11:12">
      <c r="K379" s="15"/>
      <c r="L379" s="15"/>
    </row>
    <row r="380" spans="11:12">
      <c r="K380" s="15"/>
      <c r="L380" s="15"/>
    </row>
    <row r="381" spans="11:12">
      <c r="K381" s="15"/>
      <c r="L381" s="15"/>
    </row>
    <row r="382" spans="11:12">
      <c r="K382" s="15"/>
      <c r="L382" s="15"/>
    </row>
  </sheetData>
  <mergeCells count="12">
    <mergeCell ref="A36:M37"/>
    <mergeCell ref="A1:M1"/>
    <mergeCell ref="E2:H2"/>
    <mergeCell ref="E4:H4"/>
    <mergeCell ref="A9:L9"/>
    <mergeCell ref="C2:C3"/>
    <mergeCell ref="C4:C5"/>
    <mergeCell ref="L4:L5"/>
    <mergeCell ref="A2:B3"/>
    <mergeCell ref="A4:B5"/>
    <mergeCell ref="J4:K5"/>
    <mergeCell ref="M4:M5"/>
  </mergeCells>
  <pageMargins left="0.7" right="0.7" top="0.75" bottom="0.75" header="0.3" footer="0.3"/>
  <pageSetup scale="3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A1:OS754"/>
  <sheetViews>
    <sheetView showGridLines="0" zoomScale="55" zoomScaleNormal="55" zoomScaleSheetLayoutView="160" zoomScalePageLayoutView="10" workbookViewId="0">
      <pane ySplit="5" topLeftCell="A373" activePane="bottomLeft" state="frozen"/>
      <selection activeCell="C1" sqref="C1"/>
      <selection pane="bottomLeft" activeCell="I31" sqref="I31"/>
    </sheetView>
  </sheetViews>
  <sheetFormatPr defaultColWidth="9" defaultRowHeight="15"/>
  <cols>
    <col min="1" max="1" width="9.44140625" style="32" customWidth="1"/>
    <col min="2" max="2" width="14.5546875" style="53" customWidth="1"/>
    <col min="3" max="3" width="74.5546875" style="168" customWidth="1"/>
    <col min="4" max="4" width="11.5546875" style="169" customWidth="1"/>
    <col min="5" max="5" width="11.5546875" style="32" customWidth="1"/>
    <col min="6" max="6" width="14.44140625" style="170" customWidth="1"/>
    <col min="7" max="7" width="9.44140625" style="171" customWidth="1"/>
    <col min="8" max="8" width="17.21875" style="326" customWidth="1"/>
    <col min="9" max="9" width="17.21875" style="172" customWidth="1"/>
    <col min="10" max="10" width="17.21875" style="326" customWidth="1"/>
    <col min="11" max="11" width="14.5546875" style="172" customWidth="1"/>
    <col min="12" max="12" width="13.44140625" style="32" customWidth="1"/>
    <col min="13" max="13" width="12.77734375" style="32" customWidth="1"/>
    <col min="14" max="14" width="14.5546875" style="32" customWidth="1"/>
    <col min="15" max="15" width="19.77734375" style="32" customWidth="1"/>
    <col min="16" max="16" width="22" style="32" customWidth="1"/>
    <col min="17" max="16384" width="9" style="32"/>
  </cols>
  <sheetData>
    <row r="1" spans="1:85" s="222" customFormat="1" ht="30.6" thickBot="1">
      <c r="A1" s="215" t="s">
        <v>4</v>
      </c>
      <c r="B1" s="216" t="s">
        <v>5</v>
      </c>
      <c r="C1" s="216" t="s">
        <v>6</v>
      </c>
      <c r="D1" s="216" t="s">
        <v>32</v>
      </c>
      <c r="E1" s="216" t="s">
        <v>33</v>
      </c>
      <c r="F1" s="216" t="s">
        <v>34</v>
      </c>
      <c r="G1" s="216" t="s">
        <v>35</v>
      </c>
      <c r="H1" s="316" t="s">
        <v>36</v>
      </c>
      <c r="I1" s="217" t="s">
        <v>37</v>
      </c>
      <c r="J1" s="327" t="s">
        <v>102</v>
      </c>
      <c r="K1" s="218" t="s">
        <v>103</v>
      </c>
      <c r="L1" s="218" t="s">
        <v>104</v>
      </c>
      <c r="M1" s="218" t="s">
        <v>105</v>
      </c>
      <c r="N1" s="219" t="s">
        <v>106</v>
      </c>
      <c r="O1" s="220" t="s">
        <v>107</v>
      </c>
      <c r="P1" s="221" t="s">
        <v>108</v>
      </c>
    </row>
    <row r="2" spans="1:85" s="33" customFormat="1" ht="19.2">
      <c r="A2" s="368" t="s">
        <v>121</v>
      </c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  <c r="P2" s="370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</row>
    <row r="3" spans="1:85" s="36" customFormat="1" ht="15.6" thickBot="1">
      <c r="A3" s="37"/>
      <c r="B3" s="34"/>
      <c r="C3" s="35"/>
      <c r="D3" s="34"/>
      <c r="E3" s="34"/>
      <c r="F3" s="34"/>
      <c r="G3" s="34"/>
      <c r="H3" s="317"/>
      <c r="I3" s="34"/>
      <c r="J3" s="317"/>
      <c r="K3" s="34"/>
      <c r="L3" s="34"/>
      <c r="M3" s="34"/>
      <c r="N3" s="34"/>
      <c r="O3" s="35"/>
      <c r="P3" s="29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</row>
    <row r="4" spans="1:85" s="36" customFormat="1" ht="31.05" customHeight="1">
      <c r="A4" s="223"/>
      <c r="B4" s="239" t="s">
        <v>122</v>
      </c>
      <c r="C4" s="240" t="s">
        <v>153</v>
      </c>
      <c r="D4" s="371"/>
      <c r="E4" s="371"/>
      <c r="F4" s="372"/>
      <c r="G4" s="373"/>
      <c r="H4" s="373"/>
      <c r="I4" s="373"/>
      <c r="J4" s="328"/>
      <c r="K4" s="202"/>
      <c r="L4" s="374" t="s">
        <v>123</v>
      </c>
      <c r="M4" s="375"/>
      <c r="N4" s="376">
        <f>P399</f>
        <v>284853.9076630671</v>
      </c>
      <c r="O4" s="377"/>
      <c r="P4" s="29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</row>
    <row r="5" spans="1:85" s="36" customFormat="1" ht="31.05" customHeight="1" thickBot="1">
      <c r="A5" s="223"/>
      <c r="B5" s="241" t="s">
        <v>124</v>
      </c>
      <c r="C5" s="242" t="s">
        <v>154</v>
      </c>
      <c r="D5" s="371"/>
      <c r="E5" s="371"/>
      <c r="F5" s="373"/>
      <c r="G5" s="373"/>
      <c r="H5" s="373"/>
      <c r="I5" s="373"/>
      <c r="J5" s="328"/>
      <c r="K5" s="202"/>
      <c r="L5" s="378" t="s">
        <v>125</v>
      </c>
      <c r="M5" s="379"/>
      <c r="N5" s="366">
        <f>P407</f>
        <v>356067.38457883388</v>
      </c>
      <c r="O5" s="367"/>
      <c r="P5" s="29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</row>
    <row r="6" spans="1:85" s="33" customFormat="1" ht="16.8">
      <c r="A6" s="224"/>
      <c r="B6" s="224"/>
      <c r="C6" s="225"/>
      <c r="D6" s="226"/>
      <c r="E6" s="227"/>
      <c r="F6" s="228"/>
      <c r="G6" s="224"/>
      <c r="H6" s="318"/>
      <c r="I6" s="229"/>
      <c r="J6" s="318"/>
      <c r="K6" s="229"/>
      <c r="L6" s="227"/>
      <c r="M6" s="227"/>
      <c r="N6" s="227"/>
      <c r="O6" s="225"/>
      <c r="P6" s="224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</row>
    <row r="7" spans="1:85" s="33" customFormat="1" ht="19.2">
      <c r="A7" s="263" t="str">
        <f>IF(F7&lt;&gt;"",1+MAX($A$6:A6),"")</f>
        <v/>
      </c>
      <c r="B7" s="359" t="s">
        <v>38</v>
      </c>
      <c r="C7" s="360"/>
      <c r="D7" s="360"/>
      <c r="E7" s="360"/>
      <c r="F7" s="360"/>
      <c r="G7" s="360"/>
      <c r="H7" s="360"/>
      <c r="I7" s="360"/>
      <c r="J7" s="360"/>
      <c r="K7" s="360"/>
      <c r="L7" s="360"/>
      <c r="M7" s="261"/>
      <c r="N7" s="262"/>
      <c r="O7" s="282">
        <f>SUM(O8:O23)</f>
        <v>16200</v>
      </c>
      <c r="P7" s="263"/>
      <c r="Q7" s="30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</row>
    <row r="8" spans="1:85" s="33" customFormat="1" ht="16.8">
      <c r="A8" s="21" t="str">
        <f>IF(F8&lt;&gt;"",1+MAX(#REF!),"")</f>
        <v/>
      </c>
      <c r="B8" s="38"/>
      <c r="C8" s="35"/>
      <c r="D8" s="39"/>
      <c r="E8" s="40"/>
      <c r="F8" s="39"/>
      <c r="G8" s="157"/>
      <c r="H8" s="319"/>
      <c r="I8" s="27"/>
      <c r="J8" s="329"/>
      <c r="K8" s="164"/>
      <c r="L8" s="164"/>
      <c r="M8" s="165"/>
      <c r="N8" s="166"/>
      <c r="O8" s="331"/>
      <c r="P8" s="167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</row>
    <row r="9" spans="1:85" s="33" customFormat="1" ht="16.8">
      <c r="A9" s="21" t="str">
        <f>IF(F9&lt;&gt;"",1+MAX($A$8:A8),"")</f>
        <v/>
      </c>
      <c r="B9" s="38"/>
      <c r="C9" s="20" t="s">
        <v>39</v>
      </c>
      <c r="D9" s="25"/>
      <c r="E9" s="24"/>
      <c r="F9" s="25"/>
      <c r="G9" s="158"/>
      <c r="H9" s="319"/>
      <c r="I9" s="27"/>
      <c r="J9" s="329"/>
      <c r="K9" s="164"/>
      <c r="L9" s="164"/>
      <c r="M9" s="165"/>
      <c r="N9" s="166"/>
      <c r="O9" s="331"/>
      <c r="P9" s="167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</row>
    <row r="10" spans="1:85" s="31" customFormat="1" ht="16.8">
      <c r="A10" s="21">
        <f>IF(H10&lt;&gt;"",1+MAX($A$8:A9),"")</f>
        <v>1</v>
      </c>
      <c r="B10" s="38"/>
      <c r="C10" s="22" t="s">
        <v>40</v>
      </c>
      <c r="D10" s="23">
        <v>1</v>
      </c>
      <c r="E10" s="24">
        <v>0</v>
      </c>
      <c r="F10" s="25">
        <f>(1+E10)*D10</f>
        <v>1</v>
      </c>
      <c r="G10" s="158" t="s">
        <v>62</v>
      </c>
      <c r="H10" s="320">
        <v>0</v>
      </c>
      <c r="I10" s="27">
        <f>H10*F10</f>
        <v>0</v>
      </c>
      <c r="J10" s="329">
        <v>0</v>
      </c>
      <c r="K10" s="164"/>
      <c r="L10" s="164"/>
      <c r="M10" s="165"/>
      <c r="N10" s="166">
        <f>D10*J10</f>
        <v>0</v>
      </c>
      <c r="O10" s="331">
        <f>N10+I10</f>
        <v>0</v>
      </c>
      <c r="P10" s="167">
        <v>0</v>
      </c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</row>
    <row r="11" spans="1:85" s="31" customFormat="1" ht="16.8">
      <c r="A11" s="21">
        <f>IF(H11&lt;&gt;"",1+MAX($A$8:A10),"")</f>
        <v>2</v>
      </c>
      <c r="B11" s="38"/>
      <c r="C11" s="22" t="s">
        <v>41</v>
      </c>
      <c r="D11" s="23">
        <v>1</v>
      </c>
      <c r="E11" s="24">
        <v>0</v>
      </c>
      <c r="F11" s="25">
        <f>(1+E11)*D11</f>
        <v>1</v>
      </c>
      <c r="G11" s="158" t="s">
        <v>62</v>
      </c>
      <c r="H11" s="320">
        <v>0</v>
      </c>
      <c r="I11" s="27">
        <f>H11*F11</f>
        <v>0</v>
      </c>
      <c r="J11" s="329">
        <v>0</v>
      </c>
      <c r="K11" s="164"/>
      <c r="L11" s="164"/>
      <c r="M11" s="165"/>
      <c r="N11" s="166">
        <f>D11*J11</f>
        <v>0</v>
      </c>
      <c r="O11" s="331">
        <f>N11+I11</f>
        <v>0</v>
      </c>
      <c r="P11" s="167">
        <v>0</v>
      </c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</row>
    <row r="12" spans="1:85" s="31" customFormat="1" ht="16.8">
      <c r="A12" s="21" t="str">
        <f>IF(H12&lt;&gt;"",1+MAX($A$8:A11),"")</f>
        <v/>
      </c>
      <c r="B12" s="38"/>
      <c r="C12" s="20" t="s">
        <v>42</v>
      </c>
      <c r="D12" s="25"/>
      <c r="E12" s="24"/>
      <c r="F12" s="25"/>
      <c r="G12" s="158"/>
      <c r="H12" s="320"/>
      <c r="I12" s="27"/>
      <c r="J12" s="329"/>
      <c r="K12" s="164"/>
      <c r="L12" s="164"/>
      <c r="M12" s="165"/>
      <c r="N12" s="166"/>
      <c r="O12" s="331"/>
      <c r="P12" s="167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</row>
    <row r="13" spans="1:85" s="31" customFormat="1" ht="16.8">
      <c r="A13" s="21">
        <f>IF(H13&lt;&gt;"",1+MAX($A$8:A12),"")</f>
        <v>3</v>
      </c>
      <c r="B13" s="38"/>
      <c r="C13" s="22" t="s">
        <v>43</v>
      </c>
      <c r="D13" s="23">
        <v>1</v>
      </c>
      <c r="E13" s="24">
        <v>0</v>
      </c>
      <c r="F13" s="25">
        <f t="shared" ref="F13:F22" si="0">(1+E13)*D13</f>
        <v>1</v>
      </c>
      <c r="G13" s="158" t="s">
        <v>62</v>
      </c>
      <c r="H13" s="320">
        <v>0</v>
      </c>
      <c r="I13" s="27">
        <f t="shared" ref="I13:I22" si="1">H13*F13</f>
        <v>0</v>
      </c>
      <c r="J13" s="329">
        <v>0</v>
      </c>
      <c r="K13" s="164"/>
      <c r="L13" s="164"/>
      <c r="M13" s="165"/>
      <c r="N13" s="166">
        <f t="shared" ref="N13:N22" si="2">D13*J13</f>
        <v>0</v>
      </c>
      <c r="O13" s="331">
        <f t="shared" ref="O13:O22" si="3">N13+I13</f>
        <v>0</v>
      </c>
      <c r="P13" s="167">
        <v>0</v>
      </c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</row>
    <row r="14" spans="1:85" s="31" customFormat="1" ht="16.8">
      <c r="A14" s="21">
        <f>IF(H14&lt;&gt;"",1+MAX($A$8:A13),"")</f>
        <v>4</v>
      </c>
      <c r="B14" s="38"/>
      <c r="C14" s="22" t="s">
        <v>409</v>
      </c>
      <c r="D14" s="23">
        <v>1</v>
      </c>
      <c r="E14" s="24">
        <v>0</v>
      </c>
      <c r="F14" s="25">
        <f t="shared" si="0"/>
        <v>1</v>
      </c>
      <c r="G14" s="158" t="s">
        <v>62</v>
      </c>
      <c r="H14" s="320">
        <v>0</v>
      </c>
      <c r="I14" s="27">
        <f t="shared" si="1"/>
        <v>0</v>
      </c>
      <c r="J14" s="329">
        <v>1000</v>
      </c>
      <c r="K14" s="164"/>
      <c r="L14" s="164"/>
      <c r="M14" s="165"/>
      <c r="N14" s="166">
        <f t="shared" si="2"/>
        <v>1000</v>
      </c>
      <c r="O14" s="331">
        <f t="shared" si="3"/>
        <v>1000</v>
      </c>
      <c r="P14" s="167">
        <v>0</v>
      </c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</row>
    <row r="15" spans="1:85" s="31" customFormat="1" ht="16.8">
      <c r="A15" s="21">
        <f>IF(H15&lt;&gt;"",1+MAX($A$8:A14),"")</f>
        <v>5</v>
      </c>
      <c r="B15" s="38"/>
      <c r="C15" s="22" t="s">
        <v>44</v>
      </c>
      <c r="D15" s="23">
        <v>1</v>
      </c>
      <c r="E15" s="24">
        <v>0</v>
      </c>
      <c r="F15" s="25">
        <f t="shared" si="0"/>
        <v>1</v>
      </c>
      <c r="G15" s="158" t="s">
        <v>62</v>
      </c>
      <c r="H15" s="320">
        <v>0</v>
      </c>
      <c r="I15" s="27">
        <f t="shared" si="1"/>
        <v>0</v>
      </c>
      <c r="J15" s="329">
        <v>0</v>
      </c>
      <c r="K15" s="164"/>
      <c r="L15" s="164"/>
      <c r="M15" s="165"/>
      <c r="N15" s="166">
        <f t="shared" si="2"/>
        <v>0</v>
      </c>
      <c r="O15" s="331">
        <f t="shared" si="3"/>
        <v>0</v>
      </c>
      <c r="P15" s="167">
        <v>0</v>
      </c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</row>
    <row r="16" spans="1:85" s="31" customFormat="1" ht="16.8">
      <c r="A16" s="21">
        <f>IF(H16&lt;&gt;"",1+MAX($A$8:A15),"")</f>
        <v>6</v>
      </c>
      <c r="B16" s="38"/>
      <c r="C16" s="22" t="s">
        <v>45</v>
      </c>
      <c r="D16" s="23">
        <v>1</v>
      </c>
      <c r="E16" s="24">
        <v>0</v>
      </c>
      <c r="F16" s="25">
        <f t="shared" si="0"/>
        <v>1</v>
      </c>
      <c r="G16" s="158" t="s">
        <v>62</v>
      </c>
      <c r="H16" s="320">
        <v>0</v>
      </c>
      <c r="I16" s="27">
        <f t="shared" si="1"/>
        <v>0</v>
      </c>
      <c r="J16" s="329">
        <v>0</v>
      </c>
      <c r="K16" s="164"/>
      <c r="L16" s="164"/>
      <c r="M16" s="165"/>
      <c r="N16" s="166">
        <f t="shared" si="2"/>
        <v>0</v>
      </c>
      <c r="O16" s="331">
        <f t="shared" si="3"/>
        <v>0</v>
      </c>
      <c r="P16" s="167">
        <v>0</v>
      </c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</row>
    <row r="17" spans="1:85" s="31" customFormat="1" ht="16.8">
      <c r="A17" s="21">
        <f>IF(H17&lt;&gt;"",1+MAX($A$8:A16),"")</f>
        <v>7</v>
      </c>
      <c r="B17" s="38"/>
      <c r="C17" s="22" t="s">
        <v>410</v>
      </c>
      <c r="D17" s="23">
        <v>1</v>
      </c>
      <c r="E17" s="24">
        <v>0</v>
      </c>
      <c r="F17" s="25">
        <f t="shared" si="0"/>
        <v>1</v>
      </c>
      <c r="G17" s="158" t="s">
        <v>62</v>
      </c>
      <c r="H17" s="320">
        <v>0</v>
      </c>
      <c r="I17" s="27">
        <f t="shared" si="1"/>
        <v>0</v>
      </c>
      <c r="J17" s="329">
        <v>3500</v>
      </c>
      <c r="K17" s="164"/>
      <c r="L17" s="164"/>
      <c r="M17" s="165"/>
      <c r="N17" s="166">
        <f t="shared" si="2"/>
        <v>3500</v>
      </c>
      <c r="O17" s="331">
        <f t="shared" si="3"/>
        <v>3500</v>
      </c>
      <c r="P17" s="167">
        <v>0</v>
      </c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</row>
    <row r="18" spans="1:85" s="31" customFormat="1" ht="16.8">
      <c r="A18" s="21">
        <f>IF(H18&lt;&gt;"",1+MAX($A$8:A17),"")</f>
        <v>8</v>
      </c>
      <c r="B18" s="38"/>
      <c r="C18" s="22" t="s">
        <v>46</v>
      </c>
      <c r="D18" s="23">
        <v>1</v>
      </c>
      <c r="E18" s="24">
        <v>0</v>
      </c>
      <c r="F18" s="25">
        <f t="shared" si="0"/>
        <v>1</v>
      </c>
      <c r="G18" s="158" t="s">
        <v>62</v>
      </c>
      <c r="H18" s="320">
        <v>0</v>
      </c>
      <c r="I18" s="27">
        <f t="shared" si="1"/>
        <v>0</v>
      </c>
      <c r="J18" s="329">
        <v>4000</v>
      </c>
      <c r="K18" s="164"/>
      <c r="L18" s="164"/>
      <c r="M18" s="165"/>
      <c r="N18" s="166">
        <f t="shared" si="2"/>
        <v>4000</v>
      </c>
      <c r="O18" s="331">
        <f t="shared" si="3"/>
        <v>4000</v>
      </c>
      <c r="P18" s="167">
        <v>0</v>
      </c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</row>
    <row r="19" spans="1:85" s="31" customFormat="1" ht="16.8">
      <c r="A19" s="21">
        <f>IF(H19&lt;&gt;"",1+MAX($A$8:A18),"")</f>
        <v>9</v>
      </c>
      <c r="B19" s="38"/>
      <c r="C19" s="22" t="s">
        <v>47</v>
      </c>
      <c r="D19" s="23">
        <v>1</v>
      </c>
      <c r="E19" s="24">
        <v>0</v>
      </c>
      <c r="F19" s="25">
        <f t="shared" si="0"/>
        <v>1</v>
      </c>
      <c r="G19" s="158" t="s">
        <v>62</v>
      </c>
      <c r="H19" s="320">
        <v>0</v>
      </c>
      <c r="I19" s="27">
        <f t="shared" si="1"/>
        <v>0</v>
      </c>
      <c r="J19" s="329">
        <v>0</v>
      </c>
      <c r="K19" s="164"/>
      <c r="L19" s="164"/>
      <c r="M19" s="165"/>
      <c r="N19" s="166">
        <f t="shared" si="2"/>
        <v>0</v>
      </c>
      <c r="O19" s="331">
        <f t="shared" si="3"/>
        <v>0</v>
      </c>
      <c r="P19" s="167">
        <v>0</v>
      </c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</row>
    <row r="20" spans="1:85" s="31" customFormat="1" ht="16.8">
      <c r="A20" s="21">
        <f>IF(H20&lt;&gt;"",1+MAX($A$8:A19),"")</f>
        <v>10</v>
      </c>
      <c r="B20" s="38"/>
      <c r="C20" s="22" t="s">
        <v>48</v>
      </c>
      <c r="D20" s="23">
        <v>1</v>
      </c>
      <c r="E20" s="24">
        <v>0</v>
      </c>
      <c r="F20" s="25">
        <f t="shared" si="0"/>
        <v>1</v>
      </c>
      <c r="G20" s="158" t="s">
        <v>62</v>
      </c>
      <c r="H20" s="320">
        <v>0</v>
      </c>
      <c r="I20" s="27">
        <f t="shared" si="1"/>
        <v>0</v>
      </c>
      <c r="J20" s="329">
        <v>0</v>
      </c>
      <c r="K20" s="164"/>
      <c r="L20" s="164"/>
      <c r="M20" s="165"/>
      <c r="N20" s="166">
        <f t="shared" si="2"/>
        <v>0</v>
      </c>
      <c r="O20" s="331">
        <f t="shared" si="3"/>
        <v>0</v>
      </c>
      <c r="P20" s="167">
        <v>0</v>
      </c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</row>
    <row r="21" spans="1:85" s="31" customFormat="1" ht="16.8">
      <c r="A21" s="21">
        <f>IF(H21&lt;&gt;"",1+MAX($A$8:A20),"")</f>
        <v>11</v>
      </c>
      <c r="B21" s="38"/>
      <c r="C21" s="22" t="s">
        <v>49</v>
      </c>
      <c r="D21" s="23">
        <v>1</v>
      </c>
      <c r="E21" s="24">
        <v>0</v>
      </c>
      <c r="F21" s="25">
        <f t="shared" si="0"/>
        <v>1</v>
      </c>
      <c r="G21" s="158" t="s">
        <v>62</v>
      </c>
      <c r="H21" s="320">
        <v>0</v>
      </c>
      <c r="I21" s="27">
        <f t="shared" si="1"/>
        <v>0</v>
      </c>
      <c r="J21" s="329">
        <v>6500</v>
      </c>
      <c r="K21" s="164"/>
      <c r="L21" s="164"/>
      <c r="M21" s="165"/>
      <c r="N21" s="166">
        <f t="shared" si="2"/>
        <v>6500</v>
      </c>
      <c r="O21" s="331">
        <f t="shared" si="3"/>
        <v>6500</v>
      </c>
      <c r="P21" s="167">
        <v>0</v>
      </c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</row>
    <row r="22" spans="1:85" s="31" customFormat="1" ht="16.8">
      <c r="A22" s="21">
        <f>IF(H22&lt;&gt;"",1+MAX($A$8:A21),"")</f>
        <v>12</v>
      </c>
      <c r="B22" s="38"/>
      <c r="C22" s="22" t="s">
        <v>411</v>
      </c>
      <c r="D22" s="23">
        <v>1</v>
      </c>
      <c r="E22" s="24">
        <v>0</v>
      </c>
      <c r="F22" s="25">
        <f t="shared" si="0"/>
        <v>1</v>
      </c>
      <c r="G22" s="158" t="s">
        <v>62</v>
      </c>
      <c r="H22" s="320">
        <v>0</v>
      </c>
      <c r="I22" s="27">
        <f t="shared" si="1"/>
        <v>0</v>
      </c>
      <c r="J22" s="329">
        <v>1200</v>
      </c>
      <c r="K22" s="164"/>
      <c r="L22" s="164"/>
      <c r="M22" s="165"/>
      <c r="N22" s="166">
        <f t="shared" si="2"/>
        <v>1200</v>
      </c>
      <c r="O22" s="331">
        <f t="shared" si="3"/>
        <v>1200</v>
      </c>
      <c r="P22" s="167">
        <v>0</v>
      </c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</row>
    <row r="23" spans="1:85" s="31" customFormat="1" ht="16.8">
      <c r="A23" s="21" t="str">
        <f>IF(H23&lt;&gt;"",1+MAX($A$8:A22),"")</f>
        <v/>
      </c>
      <c r="B23" s="38"/>
      <c r="C23" s="42"/>
      <c r="D23" s="25"/>
      <c r="E23" s="24"/>
      <c r="F23" s="25"/>
      <c r="G23" s="158"/>
      <c r="H23" s="320"/>
      <c r="I23" s="27"/>
      <c r="J23" s="329"/>
      <c r="K23" s="164"/>
      <c r="L23" s="164"/>
      <c r="M23" s="165"/>
      <c r="N23" s="166"/>
      <c r="O23" s="331"/>
      <c r="P23" s="167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</row>
    <row r="24" spans="1:85" s="33" customFormat="1" ht="19.2">
      <c r="A24" s="263" t="str">
        <f>IF(H24&lt;&gt;"",1+MAX($A$8:A23),"")</f>
        <v/>
      </c>
      <c r="B24" s="359" t="s">
        <v>247</v>
      </c>
      <c r="C24" s="360"/>
      <c r="D24" s="360"/>
      <c r="E24" s="360"/>
      <c r="F24" s="360"/>
      <c r="G24" s="360"/>
      <c r="H24" s="360"/>
      <c r="I24" s="360"/>
      <c r="J24" s="360"/>
      <c r="K24" s="360"/>
      <c r="L24" s="360"/>
      <c r="M24" s="261">
        <v>45</v>
      </c>
      <c r="N24" s="262"/>
      <c r="O24" s="282">
        <f>SUM(O25:O52)</f>
        <v>15986.482057200001</v>
      </c>
      <c r="P24" s="263"/>
      <c r="Q24" s="30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</row>
    <row r="25" spans="1:85" s="33" customFormat="1" ht="16.8">
      <c r="A25" s="21" t="str">
        <f>IF(H25&lt;&gt;"",1+MAX($A$8:A24),"")</f>
        <v/>
      </c>
      <c r="B25" s="267"/>
      <c r="C25" s="35"/>
      <c r="D25" s="297"/>
      <c r="E25" s="298"/>
      <c r="F25" s="297"/>
      <c r="G25" s="299"/>
      <c r="H25" s="288"/>
      <c r="I25" s="181"/>
      <c r="J25" s="289"/>
      <c r="K25" s="231"/>
      <c r="L25" s="231"/>
      <c r="M25" s="232"/>
      <c r="N25" s="233"/>
      <c r="O25" s="284"/>
      <c r="P25" s="182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</row>
    <row r="26" spans="1:85" s="31" customFormat="1" ht="16.05" customHeight="1">
      <c r="A26" s="21" t="str">
        <f>IF(H26&lt;&gt;"",1+MAX($A$8:A25),"")</f>
        <v/>
      </c>
      <c r="B26" s="361" t="s">
        <v>248</v>
      </c>
      <c r="C26" s="179" t="s">
        <v>249</v>
      </c>
      <c r="D26" s="230"/>
      <c r="E26" s="230"/>
      <c r="F26" s="230"/>
      <c r="G26" s="180"/>
      <c r="H26" s="288"/>
      <c r="I26" s="181"/>
      <c r="J26" s="289"/>
      <c r="K26" s="231"/>
      <c r="L26" s="231"/>
      <c r="M26" s="232"/>
      <c r="N26" s="233"/>
      <c r="O26" s="284"/>
      <c r="P26" s="182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</row>
    <row r="27" spans="1:85" s="31" customFormat="1" ht="16.8">
      <c r="A27" s="265">
        <f>IF(H27&lt;&gt;"",1+MAX($A$8:A26),"")</f>
        <v>13</v>
      </c>
      <c r="B27" s="362"/>
      <c r="C27" s="300" t="s">
        <v>403</v>
      </c>
      <c r="D27" s="272">
        <v>1</v>
      </c>
      <c r="E27" s="235">
        <v>0</v>
      </c>
      <c r="F27" s="234">
        <f>(1+E27)*D27</f>
        <v>1</v>
      </c>
      <c r="G27" s="180" t="s">
        <v>62</v>
      </c>
      <c r="H27" s="288">
        <v>0</v>
      </c>
      <c r="I27" s="181">
        <f>H27*F27</f>
        <v>0</v>
      </c>
      <c r="J27" s="289">
        <v>1684.97712</v>
      </c>
      <c r="K27" s="231">
        <f>N27/M27</f>
        <v>37.443936000000001</v>
      </c>
      <c r="L27" s="231">
        <f t="shared" ref="L27:L51" si="4">D27/K27</f>
        <v>2.6706594093099615E-2</v>
      </c>
      <c r="M27" s="232">
        <f>M$24</f>
        <v>45</v>
      </c>
      <c r="N27" s="233">
        <f t="shared" ref="N27:N51" si="5">D27*J27</f>
        <v>1684.97712</v>
      </c>
      <c r="O27" s="284">
        <f t="shared" ref="O27:O51" si="6">N27+I27</f>
        <v>1684.97712</v>
      </c>
      <c r="P27" s="182">
        <f t="shared" ref="P27:P51" si="7">O27/F27</f>
        <v>1684.97712</v>
      </c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</row>
    <row r="28" spans="1:85" s="31" customFormat="1" ht="16.8">
      <c r="A28" s="21">
        <f>IF(H28&lt;&gt;"",1+MAX($A$8:A27),"")</f>
        <v>14</v>
      </c>
      <c r="B28" s="362"/>
      <c r="C28" s="300" t="s">
        <v>406</v>
      </c>
      <c r="D28" s="272">
        <v>615</v>
      </c>
      <c r="E28" s="235">
        <v>0</v>
      </c>
      <c r="F28" s="234">
        <f>(1+E28)*D28</f>
        <v>615</v>
      </c>
      <c r="G28" s="180" t="s">
        <v>50</v>
      </c>
      <c r="H28" s="288">
        <v>0.162634</v>
      </c>
      <c r="I28" s="181">
        <f t="shared" ref="I28:I51" si="8">H28*F28</f>
        <v>100.01991</v>
      </c>
      <c r="J28" s="289">
        <v>0.96048</v>
      </c>
      <c r="K28" s="231">
        <f>N28/M28</f>
        <v>13.12656</v>
      </c>
      <c r="L28" s="231">
        <f t="shared" si="4"/>
        <v>46.851574212893553</v>
      </c>
      <c r="M28" s="232">
        <f>M$24</f>
        <v>45</v>
      </c>
      <c r="N28" s="233">
        <f t="shared" si="5"/>
        <v>590.6952</v>
      </c>
      <c r="O28" s="284">
        <f t="shared" si="6"/>
        <v>690.71510999999998</v>
      </c>
      <c r="P28" s="182">
        <f t="shared" si="7"/>
        <v>1.1231139999999999</v>
      </c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</row>
    <row r="29" spans="1:85" s="31" customFormat="1" ht="16.8">
      <c r="A29" s="21">
        <f>IF(H29&lt;&gt;"",1+MAX($A$8:A28),"")</f>
        <v>15</v>
      </c>
      <c r="B29" s="362"/>
      <c r="C29" s="300" t="s">
        <v>250</v>
      </c>
      <c r="D29" s="272">
        <v>34</v>
      </c>
      <c r="E29" s="235">
        <v>0</v>
      </c>
      <c r="F29" s="234">
        <f>(1+E29)*D29</f>
        <v>34</v>
      </c>
      <c r="G29" s="180" t="s">
        <v>50</v>
      </c>
      <c r="H29" s="288">
        <v>0</v>
      </c>
      <c r="I29" s="181">
        <f t="shared" si="8"/>
        <v>0</v>
      </c>
      <c r="J29" s="289">
        <v>2.0001599999999997</v>
      </c>
      <c r="K29" s="231">
        <f>N29/M29</f>
        <v>1.5112319999999999</v>
      </c>
      <c r="L29" s="231">
        <f t="shared" si="4"/>
        <v>22.498200143988484</v>
      </c>
      <c r="M29" s="232">
        <f>M$24</f>
        <v>45</v>
      </c>
      <c r="N29" s="233">
        <f t="shared" si="5"/>
        <v>68.005439999999993</v>
      </c>
      <c r="O29" s="284">
        <f t="shared" si="6"/>
        <v>68.005439999999993</v>
      </c>
      <c r="P29" s="182">
        <f t="shared" si="7"/>
        <v>2.0001599999999997</v>
      </c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</row>
    <row r="30" spans="1:85" s="31" customFormat="1" ht="16.8">
      <c r="A30" s="265">
        <f>IF(H30&lt;&gt;"",1+MAX($A$8:A29),"")</f>
        <v>16</v>
      </c>
      <c r="B30" s="362"/>
      <c r="C30" s="300" t="s">
        <v>385</v>
      </c>
      <c r="D30" s="272">
        <v>2</v>
      </c>
      <c r="E30" s="235">
        <v>0</v>
      </c>
      <c r="F30" s="234">
        <f>(1+E30)*D30</f>
        <v>2</v>
      </c>
      <c r="G30" s="180" t="s">
        <v>52</v>
      </c>
      <c r="H30" s="288">
        <v>0</v>
      </c>
      <c r="I30" s="181">
        <f t="shared" si="8"/>
        <v>0</v>
      </c>
      <c r="J30" s="289">
        <v>54.375839999999997</v>
      </c>
      <c r="K30" s="231">
        <f>N30/M30</f>
        <v>2.4167039999999997</v>
      </c>
      <c r="L30" s="231">
        <f t="shared" si="4"/>
        <v>0.82757342231402775</v>
      </c>
      <c r="M30" s="232">
        <f>M$24</f>
        <v>45</v>
      </c>
      <c r="N30" s="233">
        <f t="shared" si="5"/>
        <v>108.75167999999999</v>
      </c>
      <c r="O30" s="284">
        <f t="shared" si="6"/>
        <v>108.75167999999999</v>
      </c>
      <c r="P30" s="182">
        <f t="shared" si="7"/>
        <v>54.375839999999997</v>
      </c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</row>
    <row r="31" spans="1:85" s="31" customFormat="1" ht="16.8">
      <c r="A31" s="21">
        <f>IF(H31&lt;&gt;"",1+MAX($A$8:A30),"")</f>
        <v>17</v>
      </c>
      <c r="B31" s="362"/>
      <c r="C31" s="300" t="s">
        <v>251</v>
      </c>
      <c r="D31" s="272">
        <v>275</v>
      </c>
      <c r="E31" s="235">
        <v>0</v>
      </c>
      <c r="F31" s="234">
        <f t="shared" ref="F31:F51" si="9">(1+E31)*D31</f>
        <v>275</v>
      </c>
      <c r="G31" s="180" t="s">
        <v>50</v>
      </c>
      <c r="H31" s="288">
        <v>0</v>
      </c>
      <c r="I31" s="181">
        <f t="shared" si="8"/>
        <v>0</v>
      </c>
      <c r="J31" s="289">
        <v>1.0396799999999999</v>
      </c>
      <c r="K31" s="231">
        <f t="shared" ref="K31:K51" si="10">N31/M31</f>
        <v>6.3535999999999992</v>
      </c>
      <c r="L31" s="231">
        <f t="shared" si="4"/>
        <v>43.282548476454302</v>
      </c>
      <c r="M31" s="232">
        <f t="shared" ref="M31:M51" si="11">M$24</f>
        <v>45</v>
      </c>
      <c r="N31" s="233">
        <f t="shared" si="5"/>
        <v>285.91199999999998</v>
      </c>
      <c r="O31" s="284">
        <f t="shared" si="6"/>
        <v>285.91199999999998</v>
      </c>
      <c r="P31" s="182">
        <f t="shared" si="7"/>
        <v>1.0396799999999999</v>
      </c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</row>
    <row r="32" spans="1:85" s="31" customFormat="1" ht="16.8">
      <c r="A32" s="21">
        <f>IF(H32&lt;&gt;"",1+MAX($A$8:A31),"")</f>
        <v>18</v>
      </c>
      <c r="B32" s="362"/>
      <c r="C32" s="300" t="s">
        <v>252</v>
      </c>
      <c r="D32" s="272">
        <v>964.14</v>
      </c>
      <c r="E32" s="235">
        <v>0</v>
      </c>
      <c r="F32" s="234">
        <f t="shared" si="9"/>
        <v>964.14</v>
      </c>
      <c r="G32" s="180" t="s">
        <v>50</v>
      </c>
      <c r="H32" s="288">
        <v>0</v>
      </c>
      <c r="I32" s="181">
        <f t="shared" si="8"/>
        <v>0</v>
      </c>
      <c r="J32" s="289">
        <v>1.3607999999999998</v>
      </c>
      <c r="K32" s="231">
        <f t="shared" si="10"/>
        <v>29.155593599999996</v>
      </c>
      <c r="L32" s="231">
        <f t="shared" si="4"/>
        <v>33.06878306878307</v>
      </c>
      <c r="M32" s="232">
        <f t="shared" si="11"/>
        <v>45</v>
      </c>
      <c r="N32" s="233">
        <f t="shared" si="5"/>
        <v>1312.0017119999998</v>
      </c>
      <c r="O32" s="284">
        <f t="shared" si="6"/>
        <v>1312.0017119999998</v>
      </c>
      <c r="P32" s="182">
        <f t="shared" si="7"/>
        <v>1.3607999999999998</v>
      </c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</row>
    <row r="33" spans="1:76" s="31" customFormat="1" ht="16.8">
      <c r="A33" s="21">
        <f>IF(H33&lt;&gt;"",1+MAX($A$8:A32),"")</f>
        <v>19</v>
      </c>
      <c r="B33" s="362"/>
      <c r="C33" s="300" t="s">
        <v>253</v>
      </c>
      <c r="D33" s="272">
        <v>964.14</v>
      </c>
      <c r="E33" s="235">
        <v>0</v>
      </c>
      <c r="F33" s="234">
        <f t="shared" si="9"/>
        <v>964.14</v>
      </c>
      <c r="G33" s="180" t="s">
        <v>50</v>
      </c>
      <c r="H33" s="288">
        <v>0</v>
      </c>
      <c r="I33" s="181">
        <f t="shared" si="8"/>
        <v>0</v>
      </c>
      <c r="J33" s="289">
        <v>1.7596799999999999</v>
      </c>
      <c r="K33" s="231">
        <f t="shared" si="10"/>
        <v>37.701730559999994</v>
      </c>
      <c r="L33" s="231">
        <f t="shared" si="4"/>
        <v>25.572831423895256</v>
      </c>
      <c r="M33" s="232">
        <f t="shared" si="11"/>
        <v>45</v>
      </c>
      <c r="N33" s="233">
        <f t="shared" si="5"/>
        <v>1696.5778751999999</v>
      </c>
      <c r="O33" s="284">
        <f t="shared" si="6"/>
        <v>1696.5778751999999</v>
      </c>
      <c r="P33" s="182">
        <f t="shared" si="7"/>
        <v>1.7596799999999999</v>
      </c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</row>
    <row r="34" spans="1:76" s="31" customFormat="1" ht="16.8">
      <c r="A34" s="21">
        <f>IF(H34&lt;&gt;"",1+MAX($A$8:A33),"")</f>
        <v>20</v>
      </c>
      <c r="B34" s="362"/>
      <c r="C34" s="300" t="s">
        <v>254</v>
      </c>
      <c r="D34" s="272">
        <v>742</v>
      </c>
      <c r="E34" s="235">
        <v>0</v>
      </c>
      <c r="F34" s="234">
        <f t="shared" si="9"/>
        <v>742</v>
      </c>
      <c r="G34" s="180" t="s">
        <v>50</v>
      </c>
      <c r="H34" s="288">
        <v>0</v>
      </c>
      <c r="I34" s="181">
        <f t="shared" si="8"/>
        <v>0</v>
      </c>
      <c r="J34" s="289">
        <v>1.7596799999999999</v>
      </c>
      <c r="K34" s="231">
        <f t="shared" si="10"/>
        <v>29.015167999999999</v>
      </c>
      <c r="L34" s="231">
        <f t="shared" si="4"/>
        <v>25.572831423895256</v>
      </c>
      <c r="M34" s="232">
        <f t="shared" si="11"/>
        <v>45</v>
      </c>
      <c r="N34" s="233">
        <f t="shared" si="5"/>
        <v>1305.68256</v>
      </c>
      <c r="O34" s="284">
        <f t="shared" si="6"/>
        <v>1305.68256</v>
      </c>
      <c r="P34" s="182">
        <f t="shared" si="7"/>
        <v>1.7596799999999999</v>
      </c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</row>
    <row r="35" spans="1:76" s="31" customFormat="1" ht="16.8">
      <c r="A35" s="21">
        <f>IF(H35&lt;&gt;"",1+MAX($A$8:A34),"")</f>
        <v>21</v>
      </c>
      <c r="B35" s="362"/>
      <c r="C35" s="300" t="s">
        <v>255</v>
      </c>
      <c r="D35" s="272">
        <v>742</v>
      </c>
      <c r="E35" s="235">
        <v>0</v>
      </c>
      <c r="F35" s="234">
        <f t="shared" si="9"/>
        <v>742</v>
      </c>
      <c r="G35" s="180" t="s">
        <v>50</v>
      </c>
      <c r="H35" s="288">
        <v>0</v>
      </c>
      <c r="I35" s="181">
        <f t="shared" si="8"/>
        <v>0</v>
      </c>
      <c r="J35" s="289">
        <v>1.0396799999999999</v>
      </c>
      <c r="K35" s="231">
        <f t="shared" si="10"/>
        <v>17.143167999999999</v>
      </c>
      <c r="L35" s="231">
        <f t="shared" si="4"/>
        <v>43.282548476454295</v>
      </c>
      <c r="M35" s="232">
        <f t="shared" si="11"/>
        <v>45</v>
      </c>
      <c r="N35" s="233">
        <f t="shared" si="5"/>
        <v>771.44255999999996</v>
      </c>
      <c r="O35" s="284">
        <f t="shared" si="6"/>
        <v>771.44255999999996</v>
      </c>
      <c r="P35" s="182">
        <f t="shared" si="7"/>
        <v>1.0396799999999999</v>
      </c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</row>
    <row r="36" spans="1:76" s="31" customFormat="1" ht="16.8">
      <c r="A36" s="21">
        <f>IF(H36&lt;&gt;"",1+MAX($A$8:A35),"")</f>
        <v>22</v>
      </c>
      <c r="B36" s="362"/>
      <c r="C36" s="300" t="s">
        <v>256</v>
      </c>
      <c r="D36" s="272">
        <v>1170</v>
      </c>
      <c r="E36" s="235">
        <v>0</v>
      </c>
      <c r="F36" s="234">
        <f t="shared" si="9"/>
        <v>1170</v>
      </c>
      <c r="G36" s="180" t="s">
        <v>50</v>
      </c>
      <c r="H36" s="288">
        <v>0</v>
      </c>
      <c r="I36" s="181">
        <f t="shared" si="8"/>
        <v>0</v>
      </c>
      <c r="J36" s="289">
        <v>0.96048</v>
      </c>
      <c r="K36" s="231">
        <f t="shared" si="10"/>
        <v>24.972480000000001</v>
      </c>
      <c r="L36" s="231">
        <f t="shared" si="4"/>
        <v>46.851574212893553</v>
      </c>
      <c r="M36" s="232">
        <f t="shared" si="11"/>
        <v>45</v>
      </c>
      <c r="N36" s="233">
        <f t="shared" si="5"/>
        <v>1123.7616</v>
      </c>
      <c r="O36" s="284">
        <f t="shared" si="6"/>
        <v>1123.7616</v>
      </c>
      <c r="P36" s="182">
        <f t="shared" si="7"/>
        <v>0.96048</v>
      </c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</row>
    <row r="37" spans="1:76" s="31" customFormat="1" ht="16.8">
      <c r="A37" s="21">
        <f>IF(H37&lt;&gt;"",1+MAX($A$8:A36),"")</f>
        <v>23</v>
      </c>
      <c r="B37" s="362"/>
      <c r="C37" s="300" t="s">
        <v>257</v>
      </c>
      <c r="D37" s="272">
        <v>28</v>
      </c>
      <c r="E37" s="235">
        <v>0</v>
      </c>
      <c r="F37" s="234">
        <f t="shared" si="9"/>
        <v>28</v>
      </c>
      <c r="G37" s="180" t="s">
        <v>50</v>
      </c>
      <c r="H37" s="288">
        <v>0</v>
      </c>
      <c r="I37" s="181">
        <f t="shared" si="8"/>
        <v>0</v>
      </c>
      <c r="J37" s="289">
        <v>6.7982400000000007</v>
      </c>
      <c r="K37" s="231">
        <f t="shared" si="10"/>
        <v>4.2300160000000009</v>
      </c>
      <c r="L37" s="231">
        <f t="shared" si="4"/>
        <v>6.6193603050201215</v>
      </c>
      <c r="M37" s="232">
        <f t="shared" si="11"/>
        <v>45</v>
      </c>
      <c r="N37" s="233">
        <f t="shared" si="5"/>
        <v>190.35072000000002</v>
      </c>
      <c r="O37" s="284">
        <f t="shared" si="6"/>
        <v>190.35072000000002</v>
      </c>
      <c r="P37" s="182">
        <f t="shared" si="7"/>
        <v>6.7982400000000007</v>
      </c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</row>
    <row r="38" spans="1:76" s="31" customFormat="1" ht="16.8">
      <c r="A38" s="21">
        <f>IF(H38&lt;&gt;"",1+MAX($A$8:A37),"")</f>
        <v>24</v>
      </c>
      <c r="B38" s="362"/>
      <c r="C38" s="300" t="s">
        <v>258</v>
      </c>
      <c r="D38" s="272">
        <v>28</v>
      </c>
      <c r="E38" s="235">
        <v>0</v>
      </c>
      <c r="F38" s="234">
        <f t="shared" si="9"/>
        <v>28</v>
      </c>
      <c r="G38" s="180" t="s">
        <v>50</v>
      </c>
      <c r="H38" s="288">
        <v>0</v>
      </c>
      <c r="I38" s="181">
        <f t="shared" si="8"/>
        <v>0</v>
      </c>
      <c r="J38" s="289">
        <v>1.44</v>
      </c>
      <c r="K38" s="231">
        <f t="shared" si="10"/>
        <v>0.89600000000000002</v>
      </c>
      <c r="L38" s="231">
        <f t="shared" si="4"/>
        <v>31.25</v>
      </c>
      <c r="M38" s="232">
        <f t="shared" si="11"/>
        <v>45</v>
      </c>
      <c r="N38" s="233">
        <f t="shared" si="5"/>
        <v>40.32</v>
      </c>
      <c r="O38" s="284">
        <f t="shared" si="6"/>
        <v>40.32</v>
      </c>
      <c r="P38" s="182">
        <f t="shared" si="7"/>
        <v>1.44</v>
      </c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</row>
    <row r="39" spans="1:76" s="31" customFormat="1" ht="16.8">
      <c r="A39" s="21">
        <f>IF(H39&lt;&gt;"",1+MAX($A$8:A38),"")</f>
        <v>25</v>
      </c>
      <c r="B39" s="362"/>
      <c r="C39" s="300" t="s">
        <v>259</v>
      </c>
      <c r="D39" s="272">
        <v>14.6</v>
      </c>
      <c r="E39" s="235">
        <v>0</v>
      </c>
      <c r="F39" s="234">
        <f t="shared" si="9"/>
        <v>14.6</v>
      </c>
      <c r="G39" s="180" t="s">
        <v>51</v>
      </c>
      <c r="H39" s="288">
        <v>0</v>
      </c>
      <c r="I39" s="181">
        <f t="shared" si="8"/>
        <v>0</v>
      </c>
      <c r="J39" s="289">
        <v>23.988960000000006</v>
      </c>
      <c r="K39" s="231">
        <f t="shared" si="10"/>
        <v>7.7830848000000019</v>
      </c>
      <c r="L39" s="231">
        <f t="shared" si="4"/>
        <v>1.8758628969325886</v>
      </c>
      <c r="M39" s="232">
        <f t="shared" si="11"/>
        <v>45</v>
      </c>
      <c r="N39" s="233">
        <f t="shared" si="5"/>
        <v>350.2388160000001</v>
      </c>
      <c r="O39" s="284">
        <f t="shared" si="6"/>
        <v>350.2388160000001</v>
      </c>
      <c r="P39" s="182">
        <f t="shared" si="7"/>
        <v>23.988960000000006</v>
      </c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</row>
    <row r="40" spans="1:76" s="31" customFormat="1" ht="16.8">
      <c r="A40" s="21">
        <f>IF(H40&lt;&gt;"",1+MAX($A$8:A39),"")</f>
        <v>26</v>
      </c>
      <c r="B40" s="362"/>
      <c r="C40" s="300" t="s">
        <v>260</v>
      </c>
      <c r="D40" s="272">
        <v>14.03</v>
      </c>
      <c r="E40" s="235">
        <v>0</v>
      </c>
      <c r="F40" s="234">
        <f t="shared" si="9"/>
        <v>14.03</v>
      </c>
      <c r="G40" s="180" t="s">
        <v>51</v>
      </c>
      <c r="H40" s="288">
        <v>0</v>
      </c>
      <c r="I40" s="181">
        <f t="shared" si="8"/>
        <v>0</v>
      </c>
      <c r="J40" s="289">
        <v>23.988960000000006</v>
      </c>
      <c r="K40" s="231">
        <f t="shared" si="10"/>
        <v>7.4792246400000018</v>
      </c>
      <c r="L40" s="231">
        <f t="shared" si="4"/>
        <v>1.8758628969325886</v>
      </c>
      <c r="M40" s="232">
        <f t="shared" si="11"/>
        <v>45</v>
      </c>
      <c r="N40" s="233">
        <f t="shared" si="5"/>
        <v>336.56510880000008</v>
      </c>
      <c r="O40" s="284">
        <f t="shared" si="6"/>
        <v>336.56510880000008</v>
      </c>
      <c r="P40" s="182">
        <f t="shared" si="7"/>
        <v>23.988960000000006</v>
      </c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</row>
    <row r="41" spans="1:76" s="31" customFormat="1" ht="16.8">
      <c r="A41" s="21">
        <f>IF(H41&lt;&gt;"",1+MAX($A$8:A40),"")</f>
        <v>27</v>
      </c>
      <c r="B41" s="362"/>
      <c r="C41" s="300" t="s">
        <v>261</v>
      </c>
      <c r="D41" s="272">
        <v>7.77</v>
      </c>
      <c r="E41" s="235">
        <v>0</v>
      </c>
      <c r="F41" s="234">
        <f t="shared" si="9"/>
        <v>7.77</v>
      </c>
      <c r="G41" s="180" t="s">
        <v>51</v>
      </c>
      <c r="H41" s="288">
        <v>0</v>
      </c>
      <c r="I41" s="181">
        <f t="shared" si="8"/>
        <v>0</v>
      </c>
      <c r="J41" s="289">
        <v>31.985279999999999</v>
      </c>
      <c r="K41" s="231">
        <f t="shared" si="10"/>
        <v>5.5227916799999992</v>
      </c>
      <c r="L41" s="231">
        <f t="shared" si="4"/>
        <v>1.4068971726994419</v>
      </c>
      <c r="M41" s="232">
        <f t="shared" si="11"/>
        <v>45</v>
      </c>
      <c r="N41" s="233">
        <f t="shared" si="5"/>
        <v>248.52562559999998</v>
      </c>
      <c r="O41" s="284">
        <f t="shared" si="6"/>
        <v>248.52562559999998</v>
      </c>
      <c r="P41" s="182">
        <f t="shared" si="7"/>
        <v>31.985279999999999</v>
      </c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</row>
    <row r="42" spans="1:76" s="31" customFormat="1" ht="16.8">
      <c r="A42" s="21">
        <f>IF(H42&lt;&gt;"",1+MAX($A$8:A41),"")</f>
        <v>28</v>
      </c>
      <c r="B42" s="362"/>
      <c r="C42" s="300" t="s">
        <v>262</v>
      </c>
      <c r="D42" s="272">
        <v>18.5</v>
      </c>
      <c r="E42" s="235">
        <v>0</v>
      </c>
      <c r="F42" s="234">
        <f t="shared" si="9"/>
        <v>18.5</v>
      </c>
      <c r="G42" s="180" t="s">
        <v>51</v>
      </c>
      <c r="H42" s="288">
        <v>0</v>
      </c>
      <c r="I42" s="181">
        <f t="shared" si="8"/>
        <v>0</v>
      </c>
      <c r="J42" s="289">
        <v>15.99264</v>
      </c>
      <c r="K42" s="231">
        <f t="shared" si="10"/>
        <v>6.5747519999999993</v>
      </c>
      <c r="L42" s="231">
        <f t="shared" si="4"/>
        <v>2.8137943453988838</v>
      </c>
      <c r="M42" s="232">
        <f t="shared" si="11"/>
        <v>45</v>
      </c>
      <c r="N42" s="233">
        <f t="shared" si="5"/>
        <v>295.86383999999998</v>
      </c>
      <c r="O42" s="284">
        <f t="shared" si="6"/>
        <v>295.86383999999998</v>
      </c>
      <c r="P42" s="182">
        <f t="shared" si="7"/>
        <v>15.99264</v>
      </c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</row>
    <row r="43" spans="1:76" s="31" customFormat="1" ht="16.8">
      <c r="A43" s="21">
        <f>IF(H43&lt;&gt;"",1+MAX($A$8:A42),"")</f>
        <v>29</v>
      </c>
      <c r="B43" s="362"/>
      <c r="C43" s="300" t="s">
        <v>263</v>
      </c>
      <c r="D43" s="272">
        <v>49.23</v>
      </c>
      <c r="E43" s="235">
        <v>0</v>
      </c>
      <c r="F43" s="234">
        <f t="shared" si="9"/>
        <v>49.23</v>
      </c>
      <c r="G43" s="180" t="s">
        <v>51</v>
      </c>
      <c r="H43" s="288">
        <v>0</v>
      </c>
      <c r="I43" s="181">
        <f t="shared" si="8"/>
        <v>0</v>
      </c>
      <c r="J43" s="289">
        <v>1.1995199999999999</v>
      </c>
      <c r="K43" s="231">
        <f t="shared" si="10"/>
        <v>1.3122748799999999</v>
      </c>
      <c r="L43" s="231">
        <f t="shared" si="4"/>
        <v>37.515006002400959</v>
      </c>
      <c r="M43" s="232">
        <f t="shared" si="11"/>
        <v>45</v>
      </c>
      <c r="N43" s="233">
        <f t="shared" si="5"/>
        <v>59.052369599999992</v>
      </c>
      <c r="O43" s="284">
        <f t="shared" si="6"/>
        <v>59.052369599999992</v>
      </c>
      <c r="P43" s="182">
        <f t="shared" si="7"/>
        <v>1.1995199999999999</v>
      </c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</row>
    <row r="44" spans="1:76" s="31" customFormat="1" ht="16.8">
      <c r="A44" s="21">
        <f>IF(H44&lt;&gt;"",1+MAX($A$8:A43),"")</f>
        <v>30</v>
      </c>
      <c r="B44" s="362"/>
      <c r="C44" s="300" t="s">
        <v>407</v>
      </c>
      <c r="D44" s="272">
        <v>320</v>
      </c>
      <c r="E44" s="235">
        <v>0</v>
      </c>
      <c r="F44" s="234">
        <f t="shared" si="9"/>
        <v>320</v>
      </c>
      <c r="G44" s="180" t="s">
        <v>50</v>
      </c>
      <c r="H44" s="288">
        <v>0</v>
      </c>
      <c r="I44" s="181">
        <f t="shared" si="8"/>
        <v>0</v>
      </c>
      <c r="J44" s="289">
        <v>3.9988799999999998</v>
      </c>
      <c r="K44" s="231">
        <f t="shared" si="10"/>
        <v>28.43648</v>
      </c>
      <c r="L44" s="231">
        <f t="shared" si="4"/>
        <v>11.253150882247029</v>
      </c>
      <c r="M44" s="232">
        <f t="shared" si="11"/>
        <v>45</v>
      </c>
      <c r="N44" s="233">
        <f t="shared" si="5"/>
        <v>1279.6415999999999</v>
      </c>
      <c r="O44" s="284">
        <f t="shared" si="6"/>
        <v>1279.6415999999999</v>
      </c>
      <c r="P44" s="182">
        <f t="shared" si="7"/>
        <v>3.9988799999999998</v>
      </c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</row>
    <row r="45" spans="1:76" s="31" customFormat="1" ht="16.8">
      <c r="A45" s="265">
        <f>IF(H45&lt;&gt;"",1+MAX($A$8:A44),"")</f>
        <v>31</v>
      </c>
      <c r="B45" s="362"/>
      <c r="C45" s="300" t="s">
        <v>264</v>
      </c>
      <c r="D45" s="272">
        <v>8</v>
      </c>
      <c r="E45" s="235">
        <v>0</v>
      </c>
      <c r="F45" s="234">
        <f t="shared" si="9"/>
        <v>8</v>
      </c>
      <c r="G45" s="180" t="s">
        <v>52</v>
      </c>
      <c r="H45" s="288">
        <v>0</v>
      </c>
      <c r="I45" s="181">
        <f t="shared" si="8"/>
        <v>0</v>
      </c>
      <c r="J45" s="289">
        <v>227.89439999999996</v>
      </c>
      <c r="K45" s="231">
        <f t="shared" si="10"/>
        <v>40.514559999999996</v>
      </c>
      <c r="L45" s="231">
        <f t="shared" si="4"/>
        <v>0.19745987615316571</v>
      </c>
      <c r="M45" s="232">
        <f t="shared" si="11"/>
        <v>45</v>
      </c>
      <c r="N45" s="233">
        <f t="shared" si="5"/>
        <v>1823.1551999999997</v>
      </c>
      <c r="O45" s="284">
        <f t="shared" si="6"/>
        <v>1823.1551999999997</v>
      </c>
      <c r="P45" s="182">
        <f t="shared" si="7"/>
        <v>227.89439999999996</v>
      </c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</row>
    <row r="46" spans="1:76" s="31" customFormat="1" ht="16.8">
      <c r="A46" s="265">
        <f>IF(H46&lt;&gt;"",1+MAX($A$8:A45),"")</f>
        <v>32</v>
      </c>
      <c r="B46" s="362"/>
      <c r="C46" s="300" t="s">
        <v>265</v>
      </c>
      <c r="D46" s="272">
        <v>1</v>
      </c>
      <c r="E46" s="235">
        <v>0</v>
      </c>
      <c r="F46" s="234">
        <f t="shared" si="9"/>
        <v>1</v>
      </c>
      <c r="G46" s="180" t="s">
        <v>52</v>
      </c>
      <c r="H46" s="288">
        <v>0</v>
      </c>
      <c r="I46" s="181">
        <f t="shared" si="8"/>
        <v>0</v>
      </c>
      <c r="J46" s="289">
        <v>255.88224</v>
      </c>
      <c r="K46" s="231">
        <f t="shared" si="10"/>
        <v>5.6862719999999998</v>
      </c>
      <c r="L46" s="231">
        <f t="shared" si="4"/>
        <v>0.17586214658743021</v>
      </c>
      <c r="M46" s="232">
        <f t="shared" si="11"/>
        <v>45</v>
      </c>
      <c r="N46" s="233">
        <f t="shared" si="5"/>
        <v>255.88224</v>
      </c>
      <c r="O46" s="284">
        <f t="shared" si="6"/>
        <v>255.88224</v>
      </c>
      <c r="P46" s="182">
        <f t="shared" si="7"/>
        <v>255.88224</v>
      </c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</row>
    <row r="47" spans="1:76" s="31" customFormat="1" ht="16.8">
      <c r="A47" s="265">
        <f>IF(H47&lt;&gt;"",1+MAX($A$8:A46),"")</f>
        <v>33</v>
      </c>
      <c r="B47" s="362"/>
      <c r="C47" s="300" t="s">
        <v>266</v>
      </c>
      <c r="D47" s="272">
        <v>2</v>
      </c>
      <c r="E47" s="235">
        <v>0</v>
      </c>
      <c r="F47" s="234">
        <f t="shared" si="9"/>
        <v>2</v>
      </c>
      <c r="G47" s="180" t="s">
        <v>52</v>
      </c>
      <c r="H47" s="288">
        <v>0</v>
      </c>
      <c r="I47" s="181">
        <f t="shared" si="8"/>
        <v>0</v>
      </c>
      <c r="J47" s="289">
        <v>495.77039999999994</v>
      </c>
      <c r="K47" s="231">
        <f t="shared" si="10"/>
        <v>22.034239999999997</v>
      </c>
      <c r="L47" s="231">
        <f t="shared" si="4"/>
        <v>9.0767823169757622E-2</v>
      </c>
      <c r="M47" s="232">
        <f t="shared" si="11"/>
        <v>45</v>
      </c>
      <c r="N47" s="233">
        <f t="shared" si="5"/>
        <v>991.54079999999988</v>
      </c>
      <c r="O47" s="284">
        <f t="shared" si="6"/>
        <v>991.54079999999988</v>
      </c>
      <c r="P47" s="182">
        <f t="shared" si="7"/>
        <v>495.77039999999994</v>
      </c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</row>
    <row r="48" spans="1:76" s="31" customFormat="1" ht="16.8">
      <c r="A48" s="265">
        <f>IF(H48&lt;&gt;"",1+MAX($A$8:A47),"")</f>
        <v>34</v>
      </c>
      <c r="B48" s="362"/>
      <c r="C48" s="300" t="s">
        <v>267</v>
      </c>
      <c r="D48" s="272">
        <v>1</v>
      </c>
      <c r="E48" s="235">
        <v>0</v>
      </c>
      <c r="F48" s="234">
        <f t="shared" si="9"/>
        <v>1</v>
      </c>
      <c r="G48" s="180" t="s">
        <v>52</v>
      </c>
      <c r="H48" s="288">
        <v>0</v>
      </c>
      <c r="I48" s="181">
        <f t="shared" si="8"/>
        <v>0</v>
      </c>
      <c r="J48" s="289">
        <v>167.92272</v>
      </c>
      <c r="K48" s="231">
        <f t="shared" si="10"/>
        <v>3.7316159999999998</v>
      </c>
      <c r="L48" s="231">
        <f t="shared" si="4"/>
        <v>0.2679804138475127</v>
      </c>
      <c r="M48" s="232">
        <f t="shared" si="11"/>
        <v>45</v>
      </c>
      <c r="N48" s="233">
        <f t="shared" si="5"/>
        <v>167.92272</v>
      </c>
      <c r="O48" s="284">
        <f t="shared" si="6"/>
        <v>167.92272</v>
      </c>
      <c r="P48" s="182">
        <f t="shared" si="7"/>
        <v>167.92272</v>
      </c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</row>
    <row r="49" spans="1:76" s="31" customFormat="1" ht="16.8">
      <c r="A49" s="265">
        <f>IF(H49&lt;&gt;"",1+MAX($A$8:A48),"")</f>
        <v>35</v>
      </c>
      <c r="B49" s="362"/>
      <c r="C49" s="300" t="s">
        <v>268</v>
      </c>
      <c r="D49" s="272">
        <v>1</v>
      </c>
      <c r="E49" s="235">
        <v>0</v>
      </c>
      <c r="F49" s="234">
        <f t="shared" si="9"/>
        <v>1</v>
      </c>
      <c r="G49" s="180" t="s">
        <v>52</v>
      </c>
      <c r="H49" s="288">
        <v>0</v>
      </c>
      <c r="I49" s="181">
        <f t="shared" si="8"/>
        <v>0</v>
      </c>
      <c r="J49" s="289">
        <v>187.9128</v>
      </c>
      <c r="K49" s="231">
        <f t="shared" si="10"/>
        <v>4.17584</v>
      </c>
      <c r="L49" s="231">
        <f t="shared" si="4"/>
        <v>0.23947277673474079</v>
      </c>
      <c r="M49" s="232">
        <f t="shared" si="11"/>
        <v>45</v>
      </c>
      <c r="N49" s="233">
        <f t="shared" si="5"/>
        <v>187.9128</v>
      </c>
      <c r="O49" s="284">
        <f t="shared" si="6"/>
        <v>187.9128</v>
      </c>
      <c r="P49" s="182">
        <f t="shared" si="7"/>
        <v>187.9128</v>
      </c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</row>
    <row r="50" spans="1:76" s="31" customFormat="1" ht="16.8">
      <c r="A50" s="265">
        <f>IF(H50&lt;&gt;"",1+MAX($A$8:A49),"")</f>
        <v>36</v>
      </c>
      <c r="B50" s="362"/>
      <c r="C50" s="300" t="s">
        <v>269</v>
      </c>
      <c r="D50" s="272">
        <v>1</v>
      </c>
      <c r="E50" s="235">
        <v>0</v>
      </c>
      <c r="F50" s="234">
        <f t="shared" si="9"/>
        <v>1</v>
      </c>
      <c r="G50" s="180" t="s">
        <v>52</v>
      </c>
      <c r="H50" s="288">
        <v>0</v>
      </c>
      <c r="I50" s="181">
        <f t="shared" si="8"/>
        <v>0</v>
      </c>
      <c r="J50" s="289">
        <v>139.93632000000002</v>
      </c>
      <c r="K50" s="231">
        <f t="shared" si="10"/>
        <v>3.1096960000000005</v>
      </c>
      <c r="L50" s="231">
        <f t="shared" si="4"/>
        <v>0.32157484204243753</v>
      </c>
      <c r="M50" s="232">
        <f t="shared" si="11"/>
        <v>45</v>
      </c>
      <c r="N50" s="233">
        <f t="shared" si="5"/>
        <v>139.93632000000002</v>
      </c>
      <c r="O50" s="284">
        <f t="shared" si="6"/>
        <v>139.93632000000002</v>
      </c>
      <c r="P50" s="182">
        <f t="shared" si="7"/>
        <v>139.93632000000002</v>
      </c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</row>
    <row r="51" spans="1:76" s="31" customFormat="1" ht="16.8">
      <c r="A51" s="265">
        <f>IF(H51&lt;&gt;"",1+MAX($A$8:A50),"")</f>
        <v>37</v>
      </c>
      <c r="B51" s="363"/>
      <c r="C51" s="268" t="s">
        <v>404</v>
      </c>
      <c r="D51" s="272">
        <v>13</v>
      </c>
      <c r="E51" s="235">
        <v>0</v>
      </c>
      <c r="F51" s="234">
        <f t="shared" si="9"/>
        <v>13</v>
      </c>
      <c r="G51" s="180" t="s">
        <v>52</v>
      </c>
      <c r="H51" s="288">
        <v>0</v>
      </c>
      <c r="I51" s="181">
        <f t="shared" si="8"/>
        <v>0</v>
      </c>
      <c r="J51" s="289">
        <v>43.980480000000007</v>
      </c>
      <c r="K51" s="231">
        <f t="shared" si="10"/>
        <v>12.705472000000002</v>
      </c>
      <c r="L51" s="231">
        <f t="shared" si="4"/>
        <v>1.0231811931111254</v>
      </c>
      <c r="M51" s="232">
        <f t="shared" si="11"/>
        <v>45</v>
      </c>
      <c r="N51" s="233">
        <f t="shared" si="5"/>
        <v>571.74624000000006</v>
      </c>
      <c r="O51" s="284">
        <f t="shared" si="6"/>
        <v>571.74624000000006</v>
      </c>
      <c r="P51" s="182">
        <f t="shared" si="7"/>
        <v>43.980480000000007</v>
      </c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</row>
    <row r="52" spans="1:76" s="31" customFormat="1" ht="16.8">
      <c r="A52" s="21" t="str">
        <f>IF(H52&lt;&gt;"",1+MAX($A$8:A51),"")</f>
        <v/>
      </c>
      <c r="B52" s="214"/>
      <c r="C52" s="245"/>
      <c r="D52" s="246"/>
      <c r="E52" s="247"/>
      <c r="F52" s="246"/>
      <c r="G52" s="248"/>
      <c r="H52" s="321"/>
      <c r="I52" s="249"/>
      <c r="J52" s="330"/>
      <c r="K52" s="250"/>
      <c r="L52" s="250"/>
      <c r="M52" s="251"/>
      <c r="N52" s="252"/>
      <c r="O52" s="332"/>
      <c r="P52" s="253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</row>
    <row r="53" spans="1:76" s="33" customFormat="1" ht="19.2">
      <c r="A53" s="263" t="str">
        <f>IF(H53&lt;&gt;"",1+MAX($A$8:A52),"")</f>
        <v/>
      </c>
      <c r="B53" s="359" t="s">
        <v>98</v>
      </c>
      <c r="C53" s="360"/>
      <c r="D53" s="360"/>
      <c r="E53" s="360"/>
      <c r="F53" s="360"/>
      <c r="G53" s="360"/>
      <c r="H53" s="360"/>
      <c r="I53" s="360"/>
      <c r="J53" s="360"/>
      <c r="K53" s="360"/>
      <c r="L53" s="360"/>
      <c r="M53" s="261">
        <v>50</v>
      </c>
      <c r="N53" s="262"/>
      <c r="O53" s="282">
        <f>SUM(O54:O68)</f>
        <v>4067.5402040755594</v>
      </c>
      <c r="P53" s="263"/>
      <c r="Q53" s="30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</row>
    <row r="54" spans="1:76" s="31" customFormat="1" ht="16.8">
      <c r="A54" s="21" t="str">
        <f>IF(H54&lt;&gt;"",1+MAX($A$8:A53),"")</f>
        <v/>
      </c>
      <c r="B54" s="254"/>
      <c r="C54" s="255"/>
      <c r="D54" s="256"/>
      <c r="E54" s="257"/>
      <c r="F54" s="256"/>
      <c r="G54" s="258"/>
      <c r="H54" s="289"/>
      <c r="I54" s="259"/>
      <c r="J54" s="289"/>
      <c r="K54" s="231"/>
      <c r="L54" s="231"/>
      <c r="M54" s="232"/>
      <c r="N54" s="233"/>
      <c r="O54" s="333"/>
      <c r="P54" s="26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</row>
    <row r="55" spans="1:76" s="31" customFormat="1" ht="15.75" customHeight="1">
      <c r="A55" s="21" t="str">
        <f>IF(H55&lt;&gt;"",1+MAX($A$8:A54),"")</f>
        <v/>
      </c>
      <c r="B55" s="361" t="s">
        <v>270</v>
      </c>
      <c r="C55" s="68" t="s">
        <v>126</v>
      </c>
      <c r="D55" s="234"/>
      <c r="E55" s="235"/>
      <c r="F55" s="234"/>
      <c r="G55" s="180"/>
      <c r="H55" s="288"/>
      <c r="I55" s="301"/>
      <c r="J55" s="289"/>
      <c r="K55" s="231"/>
      <c r="L55" s="231"/>
      <c r="M55" s="232"/>
      <c r="N55" s="233"/>
      <c r="O55" s="333"/>
      <c r="P55" s="182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</row>
    <row r="56" spans="1:76" s="30" customFormat="1" ht="33.6">
      <c r="A56" s="21">
        <f>IF(H56&lt;&gt;"",1+MAX($A$8:A55),"")</f>
        <v>38</v>
      </c>
      <c r="B56" s="362"/>
      <c r="C56" s="311" t="s">
        <v>271</v>
      </c>
      <c r="D56" s="234">
        <f>((3*3*1)*1)/27</f>
        <v>0.33333333333333331</v>
      </c>
      <c r="E56" s="235">
        <v>0.05</v>
      </c>
      <c r="F56" s="234">
        <f t="shared" ref="F56:F58" si="12">(1+E56)*D56</f>
        <v>0.35</v>
      </c>
      <c r="G56" s="180" t="s">
        <v>94</v>
      </c>
      <c r="H56" s="288">
        <v>237.44564</v>
      </c>
      <c r="I56" s="181">
        <f t="shared" ref="I56:I58" si="13">H56*F56</f>
        <v>83.105973999999989</v>
      </c>
      <c r="J56" s="289">
        <v>179.63</v>
      </c>
      <c r="K56" s="231">
        <f t="shared" ref="K56:K58" si="14">N56/M56</f>
        <v>1.1975333333333333</v>
      </c>
      <c r="L56" s="231">
        <f>D56/K56</f>
        <v>0.27834994154651227</v>
      </c>
      <c r="M56" s="232">
        <f t="shared" ref="M56:M58" si="15">M$53</f>
        <v>50</v>
      </c>
      <c r="N56" s="233">
        <f>D56*J56</f>
        <v>59.876666666666665</v>
      </c>
      <c r="O56" s="284">
        <f>N56+I56</f>
        <v>142.98264066666667</v>
      </c>
      <c r="P56" s="182">
        <f>O56/F56</f>
        <v>408.52183047619053</v>
      </c>
    </row>
    <row r="57" spans="1:76" s="30" customFormat="1" ht="50.4">
      <c r="A57" s="21">
        <f>IF(H57&lt;&gt;"",1+MAX($A$8:A56),"")</f>
        <v>39</v>
      </c>
      <c r="B57" s="362"/>
      <c r="C57" s="311" t="s">
        <v>272</v>
      </c>
      <c r="D57" s="234">
        <f>1.67*1*46.11/27</f>
        <v>2.8519888888888887</v>
      </c>
      <c r="E57" s="235">
        <v>0.05</v>
      </c>
      <c r="F57" s="234">
        <f t="shared" si="12"/>
        <v>2.9945883333333332</v>
      </c>
      <c r="G57" s="180" t="s">
        <v>94</v>
      </c>
      <c r="H57" s="288">
        <v>237.44564</v>
      </c>
      <c r="I57" s="181">
        <f t="shared" si="13"/>
        <v>711.05194334486657</v>
      </c>
      <c r="J57" s="289">
        <v>179.63</v>
      </c>
      <c r="K57" s="231">
        <f t="shared" si="14"/>
        <v>10.246055282222221</v>
      </c>
      <c r="L57" s="231">
        <f>D57/K57</f>
        <v>0.27834994154651227</v>
      </c>
      <c r="M57" s="232">
        <f t="shared" si="15"/>
        <v>50</v>
      </c>
      <c r="N57" s="233">
        <f>D57*J57</f>
        <v>512.30276411111106</v>
      </c>
      <c r="O57" s="284">
        <f>N57+I57</f>
        <v>1223.3547074559776</v>
      </c>
      <c r="P57" s="182">
        <f>O57/F57</f>
        <v>408.52183047619047</v>
      </c>
    </row>
    <row r="58" spans="1:76" s="30" customFormat="1" ht="33.6">
      <c r="A58" s="21">
        <f>IF(H58&lt;&gt;"",1+MAX($A$8:A57),"")</f>
        <v>40</v>
      </c>
      <c r="B58" s="362"/>
      <c r="C58" s="311" t="s">
        <v>273</v>
      </c>
      <c r="D58" s="234">
        <f>1.67*1*23.54/27</f>
        <v>1.4559925925925925</v>
      </c>
      <c r="E58" s="235">
        <v>0.05</v>
      </c>
      <c r="F58" s="234">
        <f t="shared" si="12"/>
        <v>1.5287922222222221</v>
      </c>
      <c r="G58" s="180" t="s">
        <v>94</v>
      </c>
      <c r="H58" s="288">
        <v>237.44564</v>
      </c>
      <c r="I58" s="181">
        <f t="shared" si="13"/>
        <v>363.00504763257777</v>
      </c>
      <c r="J58" s="289">
        <v>179.63</v>
      </c>
      <c r="K58" s="231">
        <f t="shared" si="14"/>
        <v>5.2307989881481483</v>
      </c>
      <c r="L58" s="231">
        <f>D58/K58</f>
        <v>0.27834994154651227</v>
      </c>
      <c r="M58" s="232">
        <f t="shared" si="15"/>
        <v>50</v>
      </c>
      <c r="N58" s="233">
        <f>D58*J58</f>
        <v>261.53994940740739</v>
      </c>
      <c r="O58" s="284">
        <f>N58+I58</f>
        <v>624.54499703998522</v>
      </c>
      <c r="P58" s="182">
        <f>O58/F58</f>
        <v>408.52183047619053</v>
      </c>
    </row>
    <row r="59" spans="1:76" s="31" customFormat="1" ht="15.75" customHeight="1">
      <c r="A59" s="21" t="str">
        <f>IF(H59&lt;&gt;"",1+MAX($A$8:A58),"")</f>
        <v/>
      </c>
      <c r="B59" s="362"/>
      <c r="C59" s="68" t="s">
        <v>275</v>
      </c>
      <c r="D59" s="234"/>
      <c r="E59" s="235"/>
      <c r="F59" s="234"/>
      <c r="G59" s="180"/>
      <c r="H59" s="288"/>
      <c r="I59" s="301"/>
      <c r="J59" s="289"/>
      <c r="K59" s="231"/>
      <c r="L59" s="231"/>
      <c r="M59" s="232"/>
      <c r="N59" s="233"/>
      <c r="O59" s="333"/>
      <c r="P59" s="182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</row>
    <row r="60" spans="1:76" s="30" customFormat="1" ht="16.8">
      <c r="A60" s="21">
        <f>IF(H60&lt;&gt;"",1+MAX($A$8:A59),"")</f>
        <v>41</v>
      </c>
      <c r="B60" s="362"/>
      <c r="C60" s="311" t="s">
        <v>276</v>
      </c>
      <c r="D60" s="234">
        <f>0.33*251.93/27</f>
        <v>3.0791444444444447</v>
      </c>
      <c r="E60" s="235">
        <v>0.05</v>
      </c>
      <c r="F60" s="234">
        <f t="shared" ref="F60:F63" si="16">(1+E60)*D60</f>
        <v>3.2331016666666672</v>
      </c>
      <c r="G60" s="180" t="s">
        <v>94</v>
      </c>
      <c r="H60" s="288">
        <v>237.44564</v>
      </c>
      <c r="I60" s="181">
        <f t="shared" ref="I60:I63" si="17">H60*F60</f>
        <v>767.6858944267334</v>
      </c>
      <c r="J60" s="289">
        <v>179.63</v>
      </c>
      <c r="K60" s="231">
        <f t="shared" ref="K60:K63" si="18">N60/M60</f>
        <v>11.062134331111112</v>
      </c>
      <c r="L60" s="231">
        <f>D60/K60</f>
        <v>0.27834994154651227</v>
      </c>
      <c r="M60" s="232">
        <f t="shared" ref="M60:M63" si="19">M$53</f>
        <v>50</v>
      </c>
      <c r="N60" s="233">
        <f>D60*J60</f>
        <v>553.10671655555564</v>
      </c>
      <c r="O60" s="284">
        <f>N60+I60</f>
        <v>1320.792610982289</v>
      </c>
      <c r="P60" s="182">
        <f>O60/F60</f>
        <v>408.52183047619047</v>
      </c>
    </row>
    <row r="61" spans="1:76" s="30" customFormat="1" ht="16.8">
      <c r="A61" s="21">
        <f>IF(H61&lt;&gt;"",1+MAX($A$8:A60),"")</f>
        <v>42</v>
      </c>
      <c r="B61" s="362"/>
      <c r="C61" s="311" t="s">
        <v>277</v>
      </c>
      <c r="D61" s="234">
        <v>252</v>
      </c>
      <c r="E61" s="235">
        <v>0.05</v>
      </c>
      <c r="F61" s="234">
        <f t="shared" si="16"/>
        <v>264.60000000000002</v>
      </c>
      <c r="G61" s="180" t="s">
        <v>50</v>
      </c>
      <c r="H61" s="288">
        <v>0.33177336000000002</v>
      </c>
      <c r="I61" s="181">
        <f t="shared" si="17"/>
        <v>87.78723105600001</v>
      </c>
      <c r="J61" s="289">
        <v>0.22</v>
      </c>
      <c r="K61" s="231">
        <f t="shared" si="18"/>
        <v>1.1088</v>
      </c>
      <c r="L61" s="231">
        <f>D61/K61</f>
        <v>227.27272727272728</v>
      </c>
      <c r="M61" s="232">
        <f t="shared" si="19"/>
        <v>50</v>
      </c>
      <c r="N61" s="233">
        <f>D61*J61</f>
        <v>55.44</v>
      </c>
      <c r="O61" s="284">
        <f>N61+I61</f>
        <v>143.22723105599999</v>
      </c>
      <c r="P61" s="182">
        <f>O61/F61</f>
        <v>0.54129716952380946</v>
      </c>
    </row>
    <row r="62" spans="1:76" s="30" customFormat="1" ht="16.8">
      <c r="A62" s="21">
        <f>IF(H62&lt;&gt;"",1+MAX($A$8:A61),"")</f>
        <v>43</v>
      </c>
      <c r="B62" s="362"/>
      <c r="C62" s="311" t="s">
        <v>278</v>
      </c>
      <c r="D62" s="234">
        <v>252</v>
      </c>
      <c r="E62" s="235">
        <v>0.05</v>
      </c>
      <c r="F62" s="234">
        <f t="shared" si="16"/>
        <v>264.60000000000002</v>
      </c>
      <c r="G62" s="180" t="s">
        <v>50</v>
      </c>
      <c r="H62" s="288">
        <v>0.17564472</v>
      </c>
      <c r="I62" s="181">
        <f t="shared" si="17"/>
        <v>46.475592912000003</v>
      </c>
      <c r="J62" s="289">
        <v>0.11</v>
      </c>
      <c r="K62" s="231">
        <f t="shared" si="18"/>
        <v>0.5544</v>
      </c>
      <c r="L62" s="231">
        <f>D62/K62</f>
        <v>454.54545454545456</v>
      </c>
      <c r="M62" s="232">
        <f t="shared" si="19"/>
        <v>50</v>
      </c>
      <c r="N62" s="233">
        <f>D62*J62</f>
        <v>27.72</v>
      </c>
      <c r="O62" s="284">
        <f>N62+I62</f>
        <v>74.195592911999995</v>
      </c>
      <c r="P62" s="182">
        <f>O62/F62</f>
        <v>0.2804066247619047</v>
      </c>
    </row>
    <row r="63" spans="1:76" s="30" customFormat="1" ht="16.8">
      <c r="A63" s="21">
        <f>IF(H63&lt;&gt;"",1+MAX($A$8:A62),"")</f>
        <v>44</v>
      </c>
      <c r="B63" s="362"/>
      <c r="C63" s="311" t="s">
        <v>279</v>
      </c>
      <c r="D63" s="234">
        <v>252</v>
      </c>
      <c r="E63" s="235">
        <v>0.05</v>
      </c>
      <c r="F63" s="234">
        <f t="shared" si="16"/>
        <v>264.60000000000002</v>
      </c>
      <c r="G63" s="180" t="s">
        <v>50</v>
      </c>
      <c r="H63" s="288">
        <v>0.67005208000000005</v>
      </c>
      <c r="I63" s="181">
        <f t="shared" si="17"/>
        <v>177.29578036800004</v>
      </c>
      <c r="J63" s="289">
        <v>0.59</v>
      </c>
      <c r="K63" s="231">
        <f t="shared" si="18"/>
        <v>2.9735999999999994</v>
      </c>
      <c r="L63" s="231">
        <f>D63/K63</f>
        <v>84.74576271186443</v>
      </c>
      <c r="M63" s="232">
        <f t="shared" si="19"/>
        <v>50</v>
      </c>
      <c r="N63" s="233">
        <f>D63*J63</f>
        <v>148.67999999999998</v>
      </c>
      <c r="O63" s="284">
        <f>N63+I63</f>
        <v>325.97578036800002</v>
      </c>
      <c r="P63" s="182">
        <f>O63/F63</f>
        <v>1.231956841904762</v>
      </c>
    </row>
    <row r="64" spans="1:76" s="31" customFormat="1" ht="15.75" customHeight="1">
      <c r="A64" s="21" t="str">
        <f>IF(H64&lt;&gt;"",1+MAX($A$8:A63),"")</f>
        <v/>
      </c>
      <c r="B64" s="362"/>
      <c r="C64" s="68" t="s">
        <v>280</v>
      </c>
      <c r="D64" s="234"/>
      <c r="E64" s="235"/>
      <c r="F64" s="234"/>
      <c r="G64" s="180"/>
      <c r="H64" s="288"/>
      <c r="I64" s="301"/>
      <c r="J64" s="289"/>
      <c r="K64" s="231"/>
      <c r="L64" s="231"/>
      <c r="M64" s="232"/>
      <c r="N64" s="233"/>
      <c r="O64" s="333"/>
      <c r="P64" s="182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</row>
    <row r="65" spans="1:76" s="30" customFormat="1" ht="16.8">
      <c r="A65" s="21">
        <f>IF(H65&lt;&gt;"",1+MAX($A$8:A64),"")</f>
        <v>45</v>
      </c>
      <c r="B65" s="362"/>
      <c r="C65" s="311" t="s">
        <v>281</v>
      </c>
      <c r="D65" s="234">
        <f>4.05*0.559/27</f>
        <v>8.3849999999999994E-2</v>
      </c>
      <c r="E65" s="235">
        <v>0.05</v>
      </c>
      <c r="F65" s="234">
        <f t="shared" ref="F65" si="20">(1+E65)*D65</f>
        <v>8.8042499999999996E-2</v>
      </c>
      <c r="G65" s="180" t="s">
        <v>94</v>
      </c>
      <c r="H65" s="288">
        <v>237.44564</v>
      </c>
      <c r="I65" s="181">
        <f>H65*F65</f>
        <v>20.905307759699998</v>
      </c>
      <c r="J65" s="289">
        <v>179.63</v>
      </c>
      <c r="K65" s="231">
        <f t="shared" ref="K65" si="21">N65/M65</f>
        <v>0.30123950999999999</v>
      </c>
      <c r="L65" s="231">
        <f>D65/K65</f>
        <v>0.27834994154651227</v>
      </c>
      <c r="M65" s="232">
        <f t="shared" ref="M65" si="22">M$53</f>
        <v>50</v>
      </c>
      <c r="N65" s="233">
        <f>D65*J65</f>
        <v>15.061975499999999</v>
      </c>
      <c r="O65" s="284">
        <f>N65+I65</f>
        <v>35.967283259699997</v>
      </c>
      <c r="P65" s="182">
        <f>O65/F65</f>
        <v>408.52183047619047</v>
      </c>
    </row>
    <row r="66" spans="1:76" s="31" customFormat="1" ht="15.75" customHeight="1">
      <c r="A66" s="21" t="str">
        <f>IF(H66&lt;&gt;"",1+MAX($A$8:A65),"")</f>
        <v/>
      </c>
      <c r="B66" s="362"/>
      <c r="C66" s="68" t="s">
        <v>282</v>
      </c>
      <c r="D66" s="234"/>
      <c r="E66" s="235"/>
      <c r="F66" s="234"/>
      <c r="G66" s="180"/>
      <c r="H66" s="288"/>
      <c r="I66" s="301"/>
      <c r="J66" s="289"/>
      <c r="K66" s="231"/>
      <c r="L66" s="231"/>
      <c r="M66" s="232"/>
      <c r="N66" s="233"/>
      <c r="O66" s="333"/>
      <c r="P66" s="182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</row>
    <row r="67" spans="1:76" s="30" customFormat="1" ht="16.8">
      <c r="A67" s="21">
        <f>IF(H67&lt;&gt;"",1+MAX($A$8:A66),"")</f>
        <v>46</v>
      </c>
      <c r="B67" s="362"/>
      <c r="C67" s="311" t="s">
        <v>283</v>
      </c>
      <c r="D67" s="234">
        <f>16.53*0.49/27</f>
        <v>0.29998888888888892</v>
      </c>
      <c r="E67" s="235">
        <v>0.05</v>
      </c>
      <c r="F67" s="234">
        <f t="shared" ref="F67:F68" si="23">(1+E67)*D67</f>
        <v>0.31498833333333337</v>
      </c>
      <c r="G67" s="180" t="s">
        <v>94</v>
      </c>
      <c r="H67" s="288">
        <v>237.44564</v>
      </c>
      <c r="I67" s="181">
        <f t="shared" ref="I67:I68" si="24">H67*F67</f>
        <v>74.792606400866674</v>
      </c>
      <c r="J67" s="289">
        <v>179.63</v>
      </c>
      <c r="K67" s="231">
        <f t="shared" ref="K67:K68" si="25">N67/M67</f>
        <v>1.0777400822222223</v>
      </c>
      <c r="L67" s="231">
        <f>D67/K67</f>
        <v>0.27834994154651227</v>
      </c>
      <c r="M67" s="232">
        <f t="shared" ref="M67:M68" si="26">M$53</f>
        <v>50</v>
      </c>
      <c r="N67" s="233">
        <f>D67*J67</f>
        <v>53.887004111111118</v>
      </c>
      <c r="O67" s="284">
        <f>N67+I67</f>
        <v>128.67961051197778</v>
      </c>
      <c r="P67" s="182">
        <f>O67/F67</f>
        <v>408.52183047619047</v>
      </c>
    </row>
    <row r="68" spans="1:76" s="30" customFormat="1" ht="16.8">
      <c r="A68" s="21">
        <f>IF(H68&lt;&gt;"",1+MAX($A$8:A67),"")</f>
        <v>47</v>
      </c>
      <c r="B68" s="363"/>
      <c r="C68" s="311" t="s">
        <v>284</v>
      </c>
      <c r="D68" s="234">
        <f>7*0.43/27</f>
        <v>0.11148148148148147</v>
      </c>
      <c r="E68" s="235">
        <v>0.05</v>
      </c>
      <c r="F68" s="234">
        <f t="shared" si="23"/>
        <v>0.11705555555555555</v>
      </c>
      <c r="G68" s="180" t="s">
        <v>94</v>
      </c>
      <c r="H68" s="288">
        <v>237.44564</v>
      </c>
      <c r="I68" s="181">
        <f t="shared" si="24"/>
        <v>27.794331304444444</v>
      </c>
      <c r="J68" s="289">
        <v>179.63</v>
      </c>
      <c r="K68" s="231">
        <f t="shared" si="25"/>
        <v>0.40050837037037035</v>
      </c>
      <c r="L68" s="231">
        <f>D68/K68</f>
        <v>0.27834994154651227</v>
      </c>
      <c r="M68" s="232">
        <f t="shared" si="26"/>
        <v>50</v>
      </c>
      <c r="N68" s="233">
        <f>D68*J68</f>
        <v>20.025418518518517</v>
      </c>
      <c r="O68" s="284">
        <f>N68+I68</f>
        <v>47.819749822962962</v>
      </c>
      <c r="P68" s="182">
        <f>O68/F68</f>
        <v>408.52183047619047</v>
      </c>
    </row>
    <row r="69" spans="1:76" s="30" customFormat="1" ht="16.8">
      <c r="A69" s="21" t="str">
        <f>IF(H69&lt;&gt;"",1+MAX($A$8:A68),"")</f>
        <v/>
      </c>
      <c r="B69" s="235"/>
      <c r="C69" s="65"/>
      <c r="D69" s="276"/>
      <c r="E69" s="277"/>
      <c r="F69" s="276"/>
      <c r="G69" s="278"/>
      <c r="H69" s="322"/>
      <c r="I69" s="279"/>
      <c r="J69" s="322"/>
      <c r="K69" s="280"/>
      <c r="L69" s="280"/>
      <c r="M69" s="281"/>
      <c r="N69" s="281"/>
      <c r="O69" s="334"/>
      <c r="P69" s="296"/>
    </row>
    <row r="70" spans="1:76" s="33" customFormat="1" ht="19.2">
      <c r="A70" s="263" t="str">
        <f>IF(H70&lt;&gt;"",1+MAX($A$8:A69),"")</f>
        <v/>
      </c>
      <c r="B70" s="359" t="s">
        <v>99</v>
      </c>
      <c r="C70" s="360"/>
      <c r="D70" s="360"/>
      <c r="E70" s="360"/>
      <c r="F70" s="360"/>
      <c r="G70" s="360"/>
      <c r="H70" s="360"/>
      <c r="I70" s="360"/>
      <c r="J70" s="360"/>
      <c r="K70" s="360"/>
      <c r="L70" s="360"/>
      <c r="M70" s="261">
        <v>45</v>
      </c>
      <c r="N70" s="262"/>
      <c r="O70" s="282">
        <f>SUM(O71:O85)</f>
        <v>4083.2656289017614</v>
      </c>
      <c r="P70" s="263"/>
      <c r="Q70" s="30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32"/>
      <c r="BO70" s="32"/>
      <c r="BP70" s="32"/>
      <c r="BQ70" s="32"/>
    </row>
    <row r="71" spans="1:76" s="31" customFormat="1" ht="16.8">
      <c r="A71" s="21" t="str">
        <f>IF(H71&lt;&gt;"",1+MAX($A$8:A70),"")</f>
        <v/>
      </c>
      <c r="B71" s="302"/>
      <c r="C71" s="236"/>
      <c r="D71" s="234"/>
      <c r="E71" s="235"/>
      <c r="F71" s="234"/>
      <c r="G71" s="180"/>
      <c r="H71" s="288"/>
      <c r="I71" s="301"/>
      <c r="J71" s="289"/>
      <c r="K71" s="231"/>
      <c r="L71" s="231"/>
      <c r="M71" s="232"/>
      <c r="N71" s="233"/>
      <c r="O71" s="284"/>
      <c r="P71" s="182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</row>
    <row r="72" spans="1:76" s="31" customFormat="1" ht="15.75" customHeight="1">
      <c r="A72" s="21" t="str">
        <f>IF(H72&lt;&gt;"",1+MAX($A$8:A71),"")</f>
        <v/>
      </c>
      <c r="B72" s="361" t="s">
        <v>270</v>
      </c>
      <c r="C72" s="68" t="s">
        <v>127</v>
      </c>
      <c r="D72" s="234"/>
      <c r="E72" s="235"/>
      <c r="F72" s="234"/>
      <c r="G72" s="180"/>
      <c r="H72" s="288"/>
      <c r="I72" s="301"/>
      <c r="J72" s="289"/>
      <c r="K72" s="231"/>
      <c r="L72" s="231"/>
      <c r="M72" s="232"/>
      <c r="N72" s="233"/>
      <c r="O72" s="333"/>
      <c r="P72" s="182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</row>
    <row r="73" spans="1:76" s="31" customFormat="1" ht="33.6">
      <c r="A73" s="21">
        <f>IF(H73&lt;&gt;"",1+MAX($A$8:A72),"")</f>
        <v>48</v>
      </c>
      <c r="B73" s="362"/>
      <c r="C73" s="311" t="s">
        <v>377</v>
      </c>
      <c r="D73" s="234">
        <f>4*2.67</f>
        <v>10.68</v>
      </c>
      <c r="E73" s="235">
        <v>0.05</v>
      </c>
      <c r="F73" s="234">
        <f t="shared" ref="F73:F84" si="27">(1+E73)*D73</f>
        <v>11.214</v>
      </c>
      <c r="G73" s="180" t="s">
        <v>50</v>
      </c>
      <c r="H73" s="288">
        <v>2.9274119999999999</v>
      </c>
      <c r="I73" s="181">
        <f>H73*F73</f>
        <v>32.827998168000001</v>
      </c>
      <c r="J73" s="289">
        <v>7.3999999999999995</v>
      </c>
      <c r="K73" s="231">
        <f t="shared" ref="K73:K84" si="28">N73/M73</f>
        <v>1.7562666666666666</v>
      </c>
      <c r="L73" s="231">
        <f>D73/K73</f>
        <v>6.0810810810810807</v>
      </c>
      <c r="M73" s="232">
        <f t="shared" ref="M73:M84" si="29">M$70</f>
        <v>45</v>
      </c>
      <c r="N73" s="233">
        <f>D73*J73</f>
        <v>79.031999999999996</v>
      </c>
      <c r="O73" s="284">
        <f>N73+I73</f>
        <v>111.859998168</v>
      </c>
      <c r="P73" s="182">
        <f>O73/F73</f>
        <v>9.9750310476190478</v>
      </c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</row>
    <row r="74" spans="1:76" s="31" customFormat="1" ht="16.8">
      <c r="A74" s="265" t="str">
        <f>IF(H74&lt;&gt;"",1+MAX($A$8:A73),"")</f>
        <v/>
      </c>
      <c r="B74" s="362"/>
      <c r="C74" s="313" t="s">
        <v>100</v>
      </c>
      <c r="D74" s="234">
        <f>ROUNDUP((F73)/(0.89),)</f>
        <v>13</v>
      </c>
      <c r="E74" s="235">
        <v>0</v>
      </c>
      <c r="F74" s="234">
        <f t="shared" si="27"/>
        <v>13</v>
      </c>
      <c r="G74" s="180" t="s">
        <v>52</v>
      </c>
      <c r="H74" s="288"/>
      <c r="I74" s="181"/>
      <c r="J74" s="289"/>
      <c r="K74" s="231"/>
      <c r="L74" s="231"/>
      <c r="M74" s="232"/>
      <c r="N74" s="233"/>
      <c r="O74" s="284"/>
      <c r="P74" s="182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</row>
    <row r="75" spans="1:76" s="31" customFormat="1" ht="16.8">
      <c r="A75" s="21">
        <f>IF(H75&lt;&gt;"",1+MAX($A$8:A74),"")</f>
        <v>49</v>
      </c>
      <c r="B75" s="362"/>
      <c r="C75" s="313" t="s">
        <v>101</v>
      </c>
      <c r="D75" s="234">
        <f>F73/100*0.65</f>
        <v>7.2891000000000011E-2</v>
      </c>
      <c r="E75" s="235">
        <v>0.05</v>
      </c>
      <c r="F75" s="234">
        <f t="shared" si="27"/>
        <v>7.6535550000000022E-2</v>
      </c>
      <c r="G75" s="180" t="s">
        <v>94</v>
      </c>
      <c r="H75" s="288">
        <v>124.902912</v>
      </c>
      <c r="I75" s="181">
        <f t="shared" ref="I75:I76" si="30">H75*F75</f>
        <v>9.5595130665216033</v>
      </c>
      <c r="J75" s="289">
        <v>58.12</v>
      </c>
      <c r="K75" s="231">
        <f t="shared" si="28"/>
        <v>9.4142775999999997E-2</v>
      </c>
      <c r="L75" s="231">
        <f>D75/K75</f>
        <v>0.77426015141087423</v>
      </c>
      <c r="M75" s="232">
        <f t="shared" si="29"/>
        <v>45</v>
      </c>
      <c r="N75" s="233">
        <f>D75*J75</f>
        <v>4.2364249200000001</v>
      </c>
      <c r="O75" s="284">
        <f>N75+I75</f>
        <v>13.795937986521604</v>
      </c>
      <c r="P75" s="182">
        <f>O75/F75</f>
        <v>180.25529295238096</v>
      </c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</row>
    <row r="76" spans="1:76" s="31" customFormat="1" ht="50.4">
      <c r="A76" s="21">
        <f>IF(H76&lt;&gt;"",1+MAX($A$8:A75),"")</f>
        <v>50</v>
      </c>
      <c r="B76" s="362"/>
      <c r="C76" s="311" t="s">
        <v>375</v>
      </c>
      <c r="D76" s="234">
        <f>5*45</f>
        <v>225</v>
      </c>
      <c r="E76" s="235">
        <v>0.05</v>
      </c>
      <c r="F76" s="234">
        <f t="shared" ref="F76:F78" si="31">(1+E76)*D76</f>
        <v>236.25</v>
      </c>
      <c r="G76" s="180" t="s">
        <v>50</v>
      </c>
      <c r="H76" s="288">
        <v>2.9274119999999999</v>
      </c>
      <c r="I76" s="181">
        <f t="shared" si="30"/>
        <v>691.60108500000001</v>
      </c>
      <c r="J76" s="289">
        <v>7.3999999999999995</v>
      </c>
      <c r="K76" s="231">
        <f t="shared" ref="K76:K78" si="32">N76/M76</f>
        <v>36.999999999999993</v>
      </c>
      <c r="L76" s="231">
        <f>D76/K76</f>
        <v>6.0810810810810825</v>
      </c>
      <c r="M76" s="232">
        <f t="shared" si="29"/>
        <v>45</v>
      </c>
      <c r="N76" s="233">
        <f>D76*J76</f>
        <v>1664.9999999999998</v>
      </c>
      <c r="O76" s="284">
        <f>N76+I76</f>
        <v>2356.6010849999998</v>
      </c>
      <c r="P76" s="182">
        <f>O76/F76</f>
        <v>9.975031047619046</v>
      </c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</row>
    <row r="77" spans="1:76" s="31" customFormat="1" ht="16.8">
      <c r="A77" s="265" t="str">
        <f>IF(H77&lt;&gt;"",1+MAX($A$8:A76),"")</f>
        <v/>
      </c>
      <c r="B77" s="362"/>
      <c r="C77" s="313" t="s">
        <v>100</v>
      </c>
      <c r="D77" s="234">
        <f>ROUNDUP((F76)/(0.89),)</f>
        <v>266</v>
      </c>
      <c r="E77" s="235">
        <v>0</v>
      </c>
      <c r="F77" s="234">
        <f t="shared" si="31"/>
        <v>266</v>
      </c>
      <c r="G77" s="180" t="s">
        <v>52</v>
      </c>
      <c r="H77" s="288"/>
      <c r="I77" s="181"/>
      <c r="J77" s="289"/>
      <c r="K77" s="231"/>
      <c r="L77" s="231"/>
      <c r="M77" s="232"/>
      <c r="N77" s="233"/>
      <c r="O77" s="284"/>
      <c r="P77" s="182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</row>
    <row r="78" spans="1:76" s="31" customFormat="1" ht="16.8">
      <c r="A78" s="21">
        <f>IF(H78&lt;&gt;"",1+MAX($A$8:A77),"")</f>
        <v>51</v>
      </c>
      <c r="B78" s="362"/>
      <c r="C78" s="313" t="s">
        <v>101</v>
      </c>
      <c r="D78" s="234">
        <f>F76/100*0.65</f>
        <v>1.535625</v>
      </c>
      <c r="E78" s="235">
        <v>0.05</v>
      </c>
      <c r="F78" s="234">
        <f t="shared" si="31"/>
        <v>1.61240625</v>
      </c>
      <c r="G78" s="180" t="s">
        <v>94</v>
      </c>
      <c r="H78" s="288">
        <v>124.902912</v>
      </c>
      <c r="I78" s="181">
        <f t="shared" ref="I78:I79" si="33">H78*F78</f>
        <v>201.394235952</v>
      </c>
      <c r="J78" s="289">
        <v>58.12</v>
      </c>
      <c r="K78" s="231">
        <f t="shared" si="32"/>
        <v>1.9833449999999999</v>
      </c>
      <c r="L78" s="231">
        <f>D78/K78</f>
        <v>0.77426015141087412</v>
      </c>
      <c r="M78" s="232">
        <f t="shared" si="29"/>
        <v>45</v>
      </c>
      <c r="N78" s="233">
        <f>D78*J78</f>
        <v>89.250524999999996</v>
      </c>
      <c r="O78" s="284">
        <f>N78+I78</f>
        <v>290.64476095200001</v>
      </c>
      <c r="P78" s="182">
        <f>O78/F78</f>
        <v>180.25529295238096</v>
      </c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</row>
    <row r="79" spans="1:76" s="31" customFormat="1" ht="50.4">
      <c r="A79" s="21">
        <f>IF(H79&lt;&gt;"",1+MAX($A$8:A78),"")</f>
        <v>52</v>
      </c>
      <c r="B79" s="362"/>
      <c r="C79" s="311" t="s">
        <v>376</v>
      </c>
      <c r="D79" s="234">
        <f>3*24</f>
        <v>72</v>
      </c>
      <c r="E79" s="235">
        <v>0.05</v>
      </c>
      <c r="F79" s="234">
        <f t="shared" ref="F79:F81" si="34">(1+E79)*D79</f>
        <v>75.600000000000009</v>
      </c>
      <c r="G79" s="180" t="s">
        <v>50</v>
      </c>
      <c r="H79" s="288">
        <v>2.9274119999999999</v>
      </c>
      <c r="I79" s="181">
        <f t="shared" si="33"/>
        <v>221.3123472</v>
      </c>
      <c r="J79" s="289">
        <v>7.3999999999999995</v>
      </c>
      <c r="K79" s="231">
        <f t="shared" ref="K79:K81" si="35">N79/M79</f>
        <v>11.84</v>
      </c>
      <c r="L79" s="231">
        <f>D79/K79</f>
        <v>6.0810810810810816</v>
      </c>
      <c r="M79" s="232">
        <f t="shared" si="29"/>
        <v>45</v>
      </c>
      <c r="N79" s="233">
        <f>D79*J79</f>
        <v>532.79999999999995</v>
      </c>
      <c r="O79" s="284">
        <f>N79+I79</f>
        <v>754.11234719999993</v>
      </c>
      <c r="P79" s="182">
        <f>O79/F79</f>
        <v>9.975031047619046</v>
      </c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</row>
    <row r="80" spans="1:76" s="31" customFormat="1" ht="16.8">
      <c r="A80" s="265" t="str">
        <f>IF(H80&lt;&gt;"",1+MAX($A$8:A79),"")</f>
        <v/>
      </c>
      <c r="B80" s="362"/>
      <c r="C80" s="313" t="s">
        <v>100</v>
      </c>
      <c r="D80" s="234">
        <f>ROUNDUP((F79)/(0.89),)</f>
        <v>85</v>
      </c>
      <c r="E80" s="235">
        <v>0</v>
      </c>
      <c r="F80" s="234">
        <f t="shared" si="34"/>
        <v>85</v>
      </c>
      <c r="G80" s="180" t="s">
        <v>52</v>
      </c>
      <c r="H80" s="288"/>
      <c r="I80" s="181"/>
      <c r="J80" s="289"/>
      <c r="K80" s="231"/>
      <c r="L80" s="231"/>
      <c r="M80" s="232"/>
      <c r="N80" s="233"/>
      <c r="O80" s="284"/>
      <c r="P80" s="182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</row>
    <row r="81" spans="1:76" s="31" customFormat="1" ht="16.8">
      <c r="A81" s="21">
        <f>IF(H81&lt;&gt;"",1+MAX($A$8:A80),"")</f>
        <v>53</v>
      </c>
      <c r="B81" s="362"/>
      <c r="C81" s="313" t="s">
        <v>101</v>
      </c>
      <c r="D81" s="234">
        <f>F79/100*0.65</f>
        <v>0.49140000000000011</v>
      </c>
      <c r="E81" s="235">
        <v>0.05</v>
      </c>
      <c r="F81" s="234">
        <f t="shared" si="34"/>
        <v>0.51597000000000015</v>
      </c>
      <c r="G81" s="180" t="s">
        <v>94</v>
      </c>
      <c r="H81" s="288">
        <v>124.902912</v>
      </c>
      <c r="I81" s="181">
        <f t="shared" ref="I81:I82" si="36">H81*F81</f>
        <v>64.446155504640018</v>
      </c>
      <c r="J81" s="289">
        <v>58.12</v>
      </c>
      <c r="K81" s="231">
        <f t="shared" si="35"/>
        <v>0.63467040000000008</v>
      </c>
      <c r="L81" s="231">
        <f>D81/K81</f>
        <v>0.77426015141087412</v>
      </c>
      <c r="M81" s="232">
        <f t="shared" si="29"/>
        <v>45</v>
      </c>
      <c r="N81" s="233">
        <f>D81*J81</f>
        <v>28.560168000000004</v>
      </c>
      <c r="O81" s="284">
        <f>N81+I81</f>
        <v>93.006323504640022</v>
      </c>
      <c r="P81" s="182">
        <f>O81/F81</f>
        <v>180.25529295238096</v>
      </c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</row>
    <row r="82" spans="1:76" s="31" customFormat="1" ht="33.6">
      <c r="A82" s="21">
        <f>IF(H82&lt;&gt;"",1+MAX($A$8:A81),"")</f>
        <v>54</v>
      </c>
      <c r="B82" s="362"/>
      <c r="C82" s="311" t="s">
        <v>285</v>
      </c>
      <c r="D82" s="234">
        <f>9.5*4.75</f>
        <v>45.125</v>
      </c>
      <c r="E82" s="235">
        <v>0.05</v>
      </c>
      <c r="F82" s="234">
        <f t="shared" si="27"/>
        <v>47.381250000000001</v>
      </c>
      <c r="G82" s="180" t="s">
        <v>50</v>
      </c>
      <c r="H82" s="288">
        <v>2.7322512000000003</v>
      </c>
      <c r="I82" s="181">
        <f t="shared" si="36"/>
        <v>129.45747717000003</v>
      </c>
      <c r="J82" s="289">
        <v>6.34</v>
      </c>
      <c r="K82" s="231">
        <f t="shared" si="28"/>
        <v>6.3576111111111109</v>
      </c>
      <c r="L82" s="231">
        <f>D82/K82</f>
        <v>7.0977917981072558</v>
      </c>
      <c r="M82" s="232">
        <f t="shared" si="29"/>
        <v>45</v>
      </c>
      <c r="N82" s="233">
        <f>D82*J82</f>
        <v>286.09249999999997</v>
      </c>
      <c r="O82" s="284">
        <f>N82+I82</f>
        <v>415.54997717000003</v>
      </c>
      <c r="P82" s="182">
        <f>O82/F82</f>
        <v>8.7703464380952383</v>
      </c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</row>
    <row r="83" spans="1:76" s="31" customFormat="1" ht="16.8">
      <c r="A83" s="265" t="str">
        <f>IF(H83&lt;&gt;"",1+MAX($A$8:A82),"")</f>
        <v/>
      </c>
      <c r="B83" s="362"/>
      <c r="C83" s="313" t="s">
        <v>286</v>
      </c>
      <c r="D83" s="234">
        <f>ROUNDUP((F82)/(0.665),)</f>
        <v>72</v>
      </c>
      <c r="E83" s="235">
        <v>0</v>
      </c>
      <c r="F83" s="234">
        <f t="shared" si="27"/>
        <v>72</v>
      </c>
      <c r="G83" s="180" t="s">
        <v>52</v>
      </c>
      <c r="H83" s="288"/>
      <c r="I83" s="181"/>
      <c r="J83" s="289"/>
      <c r="K83" s="231"/>
      <c r="L83" s="231"/>
      <c r="M83" s="232"/>
      <c r="N83" s="233"/>
      <c r="O83" s="284"/>
      <c r="P83" s="182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/>
    </row>
    <row r="84" spans="1:76" s="31" customFormat="1" ht="16.8">
      <c r="A84" s="21">
        <f>IF(H84&lt;&gt;"",1+MAX($A$8:A83),"")</f>
        <v>55</v>
      </c>
      <c r="B84" s="362"/>
      <c r="C84" s="313" t="s">
        <v>101</v>
      </c>
      <c r="D84" s="234">
        <f>F82/100*0.55</f>
        <v>0.26059687500000006</v>
      </c>
      <c r="E84" s="234">
        <f>E83/100*0.44</f>
        <v>0</v>
      </c>
      <c r="F84" s="234">
        <f t="shared" si="27"/>
        <v>0.26059687500000006</v>
      </c>
      <c r="G84" s="180" t="s">
        <v>94</v>
      </c>
      <c r="H84" s="288">
        <v>124.902912</v>
      </c>
      <c r="I84" s="181">
        <f>H84*F84</f>
        <v>32.549308545600006</v>
      </c>
      <c r="J84" s="289">
        <v>58.12</v>
      </c>
      <c r="K84" s="231">
        <f t="shared" si="28"/>
        <v>0.33657534166666669</v>
      </c>
      <c r="L84" s="231">
        <f>D84/K84</f>
        <v>0.77426015141087412</v>
      </c>
      <c r="M84" s="232">
        <f t="shared" si="29"/>
        <v>45</v>
      </c>
      <c r="N84" s="233">
        <f>D84*J84</f>
        <v>15.145890375000002</v>
      </c>
      <c r="O84" s="284">
        <f>N84+I84</f>
        <v>47.695198920600006</v>
      </c>
      <c r="P84" s="182">
        <f>O84/F84</f>
        <v>183.02291199999999</v>
      </c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/>
    </row>
    <row r="85" spans="1:76" s="30" customFormat="1" ht="16.8">
      <c r="A85" s="21" t="str">
        <f>IF(H85&lt;&gt;"",1+MAX($A$8:A84),"")</f>
        <v/>
      </c>
      <c r="B85" s="363"/>
      <c r="C85" s="312" t="s">
        <v>274</v>
      </c>
      <c r="D85" s="234"/>
      <c r="E85" s="235"/>
      <c r="F85" s="234"/>
      <c r="G85" s="180"/>
      <c r="H85" s="288"/>
      <c r="I85" s="181"/>
      <c r="J85" s="289"/>
      <c r="K85" s="231"/>
      <c r="L85" s="231"/>
      <c r="M85" s="232"/>
      <c r="N85" s="233"/>
      <c r="O85" s="284"/>
      <c r="P85" s="182"/>
    </row>
    <row r="86" spans="1:76" s="31" customFormat="1" ht="16.8">
      <c r="A86" s="21" t="str">
        <f>IF(H86&lt;&gt;"",1+MAX($A$8:A85),"")</f>
        <v/>
      </c>
      <c r="B86" s="267"/>
      <c r="C86" s="236"/>
      <c r="D86" s="234"/>
      <c r="E86" s="235"/>
      <c r="F86" s="234"/>
      <c r="G86" s="180"/>
      <c r="H86" s="283"/>
      <c r="I86" s="181"/>
      <c r="J86" s="283"/>
      <c r="K86" s="181"/>
      <c r="L86" s="303"/>
      <c r="M86" s="304"/>
      <c r="N86" s="305"/>
      <c r="O86" s="284"/>
      <c r="P86" s="182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</row>
    <row r="87" spans="1:76" s="33" customFormat="1" ht="19.2">
      <c r="A87" s="263" t="str">
        <f>IF(H87&lt;&gt;"",1+MAX($A$8:A86),"")</f>
        <v/>
      </c>
      <c r="B87" s="359" t="s">
        <v>53</v>
      </c>
      <c r="C87" s="360"/>
      <c r="D87" s="360"/>
      <c r="E87" s="360"/>
      <c r="F87" s="360"/>
      <c r="G87" s="360"/>
      <c r="H87" s="360"/>
      <c r="I87" s="360"/>
      <c r="J87" s="360"/>
      <c r="K87" s="360"/>
      <c r="L87" s="360"/>
      <c r="M87" s="261">
        <v>50</v>
      </c>
      <c r="N87" s="262"/>
      <c r="O87" s="282">
        <f>SUM(O88:O107)</f>
        <v>4554.896594672241</v>
      </c>
      <c r="P87" s="19"/>
      <c r="Q87" s="30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  <c r="BJ87" s="32"/>
      <c r="BK87" s="32"/>
      <c r="BL87" s="32"/>
      <c r="BM87" s="32"/>
      <c r="BN87" s="32"/>
      <c r="BO87" s="32"/>
      <c r="BP87" s="32"/>
      <c r="BQ87" s="32"/>
    </row>
    <row r="88" spans="1:76" s="31" customFormat="1" ht="16.8">
      <c r="A88" s="21" t="str">
        <f>IF(H88&lt;&gt;"",1+MAX($A$8:A87),"")</f>
        <v/>
      </c>
      <c r="B88" s="38"/>
      <c r="C88" s="42"/>
      <c r="D88" s="25"/>
      <c r="E88" s="24"/>
      <c r="F88" s="25"/>
      <c r="G88" s="158"/>
      <c r="H88" s="319"/>
      <c r="I88" s="27"/>
      <c r="J88" s="139"/>
      <c r="K88" s="135"/>
      <c r="L88" s="43"/>
      <c r="M88" s="41"/>
      <c r="N88" s="28"/>
      <c r="O88" s="331"/>
      <c r="P88" s="167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</row>
    <row r="89" spans="1:76" s="30" customFormat="1" ht="16.8">
      <c r="A89" s="21" t="str">
        <f>IF(H89&lt;&gt;"",1+MAX($A$8:A88),"")</f>
        <v/>
      </c>
      <c r="B89" s="361" t="s">
        <v>199</v>
      </c>
      <c r="C89" s="179" t="s">
        <v>128</v>
      </c>
      <c r="D89" s="286"/>
      <c r="E89" s="287"/>
      <c r="F89" s="286"/>
      <c r="G89" s="275"/>
      <c r="H89" s="283"/>
      <c r="I89" s="181"/>
      <c r="J89" s="283"/>
      <c r="K89" s="181"/>
      <c r="L89" s="283"/>
      <c r="M89" s="306"/>
      <c r="N89" s="305"/>
      <c r="O89" s="284"/>
      <c r="P89" s="182"/>
    </row>
    <row r="90" spans="1:76" s="30" customFormat="1" ht="16.8">
      <c r="A90" s="265">
        <f>IF(H90&lt;&gt;"",1+MAX($A$8:A89),"")</f>
        <v>56</v>
      </c>
      <c r="B90" s="362"/>
      <c r="C90" s="236" t="s">
        <v>287</v>
      </c>
      <c r="D90" s="234">
        <v>1</v>
      </c>
      <c r="E90" s="235">
        <v>0</v>
      </c>
      <c r="F90" s="234">
        <f t="shared" ref="F90" si="37">(1+E90)*D90</f>
        <v>1</v>
      </c>
      <c r="G90" s="180" t="s">
        <v>52</v>
      </c>
      <c r="H90" s="288">
        <v>75.455670639999994</v>
      </c>
      <c r="I90" s="181">
        <f>H90*F90</f>
        <v>75.455670639999994</v>
      </c>
      <c r="J90" s="289">
        <v>127.87</v>
      </c>
      <c r="K90" s="231">
        <f t="shared" ref="K90" si="38">N90/M90</f>
        <v>2.5573999999999999</v>
      </c>
      <c r="L90" s="231">
        <f>D90/K90</f>
        <v>0.39102213185266288</v>
      </c>
      <c r="M90" s="232">
        <f t="shared" ref="M90" si="39">M$87</f>
        <v>50</v>
      </c>
      <c r="N90" s="233">
        <f>D90*J90</f>
        <v>127.87</v>
      </c>
      <c r="O90" s="284">
        <f>N90+I90</f>
        <v>203.32567064</v>
      </c>
      <c r="P90" s="182">
        <f>O90/F90</f>
        <v>203.32567064</v>
      </c>
    </row>
    <row r="91" spans="1:76" s="30" customFormat="1" ht="16.8">
      <c r="A91" s="21" t="str">
        <f>IF(H91&lt;&gt;"",1+MAX($A$8:A90),"")</f>
        <v/>
      </c>
      <c r="B91" s="362"/>
      <c r="C91" s="147" t="s">
        <v>129</v>
      </c>
      <c r="D91" s="149"/>
      <c r="E91" s="145"/>
      <c r="F91" s="150"/>
      <c r="G91" s="151"/>
      <c r="H91" s="139"/>
      <c r="I91" s="135"/>
      <c r="J91" s="139"/>
      <c r="K91" s="135"/>
      <c r="L91" s="139"/>
      <c r="M91" s="140"/>
      <c r="N91" s="141"/>
      <c r="O91" s="331"/>
      <c r="P91" s="167"/>
    </row>
    <row r="92" spans="1:76" s="30" customFormat="1" ht="16.8">
      <c r="A92" s="21">
        <f>IF(H92&lt;&gt;"",1+MAX($A$8:A91),"")</f>
        <v>57</v>
      </c>
      <c r="B92" s="362"/>
      <c r="C92" s="236" t="s">
        <v>150</v>
      </c>
      <c r="D92" s="138">
        <v>35</v>
      </c>
      <c r="E92" s="137">
        <v>0</v>
      </c>
      <c r="F92" s="138">
        <f t="shared" ref="F92:F101" si="40">(1+E92)*D92</f>
        <v>35</v>
      </c>
      <c r="G92" s="156" t="s">
        <v>52</v>
      </c>
      <c r="H92" s="288">
        <v>2.5956386400000002</v>
      </c>
      <c r="I92" s="181">
        <f t="shared" ref="I92:I104" si="41">H92*F92</f>
        <v>90.847352400000005</v>
      </c>
      <c r="J92" s="289">
        <v>2.7899999999999996</v>
      </c>
      <c r="K92" s="164">
        <f t="shared" ref="K92:K96" si="42">N92/M92</f>
        <v>1.9529999999999998</v>
      </c>
      <c r="L92" s="164">
        <f t="shared" ref="L92:L104" si="43">D92/K92</f>
        <v>17.921146953405021</v>
      </c>
      <c r="M92" s="165">
        <f t="shared" ref="M92:M97" si="44">M$87</f>
        <v>50</v>
      </c>
      <c r="N92" s="166">
        <f t="shared" ref="N92:N104" si="45">D92*J92</f>
        <v>97.649999999999991</v>
      </c>
      <c r="O92" s="331">
        <f t="shared" ref="O92:O104" si="46">N92+I92</f>
        <v>188.49735240000001</v>
      </c>
      <c r="P92" s="167">
        <f t="shared" ref="P92:P104" si="47">O92/F92</f>
        <v>5.3856386400000007</v>
      </c>
    </row>
    <row r="93" spans="1:76" s="30" customFormat="1" ht="16.8">
      <c r="A93" s="21">
        <f>IF(H93&lt;&gt;"",1+MAX($A$8:A92),"")</f>
        <v>58</v>
      </c>
      <c r="B93" s="362"/>
      <c r="C93" s="236" t="s">
        <v>151</v>
      </c>
      <c r="D93" s="138">
        <v>35</v>
      </c>
      <c r="E93" s="137">
        <v>0</v>
      </c>
      <c r="F93" s="138">
        <f t="shared" si="40"/>
        <v>35</v>
      </c>
      <c r="G93" s="156" t="s">
        <v>52</v>
      </c>
      <c r="H93" s="288">
        <v>8.2292804000000004</v>
      </c>
      <c r="I93" s="181">
        <f t="shared" si="41"/>
        <v>288.02481399999999</v>
      </c>
      <c r="J93" s="289">
        <v>7.27</v>
      </c>
      <c r="K93" s="164">
        <f t="shared" si="42"/>
        <v>5.0889999999999995</v>
      </c>
      <c r="L93" s="164">
        <f t="shared" si="43"/>
        <v>6.8775790921595608</v>
      </c>
      <c r="M93" s="165">
        <f t="shared" si="44"/>
        <v>50</v>
      </c>
      <c r="N93" s="166">
        <f t="shared" si="45"/>
        <v>254.45</v>
      </c>
      <c r="O93" s="331">
        <f t="shared" si="46"/>
        <v>542.47481399999992</v>
      </c>
      <c r="P93" s="167">
        <f t="shared" si="47"/>
        <v>15.499280399999998</v>
      </c>
    </row>
    <row r="94" spans="1:76" s="30" customFormat="1" ht="16.8">
      <c r="A94" s="21">
        <f>IF(H94&lt;&gt;"",1+MAX($A$8:A93),"")</f>
        <v>59</v>
      </c>
      <c r="B94" s="362"/>
      <c r="C94" s="144" t="s">
        <v>193</v>
      </c>
      <c r="D94" s="138">
        <f>58+29</f>
        <v>87</v>
      </c>
      <c r="E94" s="137">
        <v>0</v>
      </c>
      <c r="F94" s="138">
        <f t="shared" si="40"/>
        <v>87</v>
      </c>
      <c r="G94" s="156" t="s">
        <v>52</v>
      </c>
      <c r="H94" s="288">
        <v>1.0798897599999999</v>
      </c>
      <c r="I94" s="181">
        <f t="shared" si="41"/>
        <v>93.950409119999989</v>
      </c>
      <c r="J94" s="289">
        <v>3.96</v>
      </c>
      <c r="K94" s="164">
        <f t="shared" si="42"/>
        <v>6.8903999999999996</v>
      </c>
      <c r="L94" s="164">
        <f t="shared" si="43"/>
        <v>12.626262626262626</v>
      </c>
      <c r="M94" s="165">
        <f t="shared" si="44"/>
        <v>50</v>
      </c>
      <c r="N94" s="166">
        <f t="shared" si="45"/>
        <v>344.52</v>
      </c>
      <c r="O94" s="331">
        <f t="shared" si="46"/>
        <v>438.47040912</v>
      </c>
      <c r="P94" s="167">
        <f t="shared" si="47"/>
        <v>5.0398897600000003</v>
      </c>
    </row>
    <row r="95" spans="1:76" s="30" customFormat="1" ht="16.8">
      <c r="A95" s="21">
        <f>IF(H95&lt;&gt;"",1+MAX($A$8:A94),"")</f>
        <v>60</v>
      </c>
      <c r="B95" s="362"/>
      <c r="C95" s="144" t="s">
        <v>197</v>
      </c>
      <c r="D95" s="138">
        <v>126</v>
      </c>
      <c r="E95" s="137">
        <v>0</v>
      </c>
      <c r="F95" s="138">
        <f t="shared" si="40"/>
        <v>126</v>
      </c>
      <c r="G95" s="156" t="s">
        <v>52</v>
      </c>
      <c r="H95" s="288">
        <v>0.57897704000000005</v>
      </c>
      <c r="I95" s="181">
        <f t="shared" si="41"/>
        <v>72.951107040000011</v>
      </c>
      <c r="J95" s="289">
        <v>3.96</v>
      </c>
      <c r="K95" s="164">
        <f t="shared" ref="K95" si="48">N95/M95</f>
        <v>9.9791999999999987</v>
      </c>
      <c r="L95" s="164">
        <f t="shared" si="43"/>
        <v>12.626262626262628</v>
      </c>
      <c r="M95" s="165">
        <f t="shared" si="44"/>
        <v>50</v>
      </c>
      <c r="N95" s="166">
        <f t="shared" si="45"/>
        <v>498.96</v>
      </c>
      <c r="O95" s="331">
        <f t="shared" si="46"/>
        <v>571.91110703999993</v>
      </c>
      <c r="P95" s="167">
        <f t="shared" si="47"/>
        <v>4.5389770399999998</v>
      </c>
    </row>
    <row r="96" spans="1:76" s="30" customFormat="1" ht="16.8">
      <c r="A96" s="21">
        <f>IF(H96&lt;&gt;"",1+MAX($A$8:A95),"")</f>
        <v>61</v>
      </c>
      <c r="B96" s="362"/>
      <c r="C96" s="144" t="s">
        <v>196</v>
      </c>
      <c r="D96" s="138">
        <v>87</v>
      </c>
      <c r="E96" s="137">
        <v>0</v>
      </c>
      <c r="F96" s="138">
        <f t="shared" si="40"/>
        <v>87</v>
      </c>
      <c r="G96" s="156" t="s">
        <v>52</v>
      </c>
      <c r="H96" s="288">
        <v>1.3596202399999999</v>
      </c>
      <c r="I96" s="181">
        <f t="shared" si="41"/>
        <v>118.28696088</v>
      </c>
      <c r="J96" s="289">
        <v>4.3599999999999994</v>
      </c>
      <c r="K96" s="164">
        <f t="shared" si="42"/>
        <v>7.5863999999999985</v>
      </c>
      <c r="L96" s="164">
        <f t="shared" si="43"/>
        <v>11.467889908256883</v>
      </c>
      <c r="M96" s="165">
        <f t="shared" si="44"/>
        <v>50</v>
      </c>
      <c r="N96" s="166">
        <f t="shared" si="45"/>
        <v>379.31999999999994</v>
      </c>
      <c r="O96" s="331">
        <f t="shared" si="46"/>
        <v>497.60696087999992</v>
      </c>
      <c r="P96" s="167">
        <f t="shared" si="47"/>
        <v>5.7196202399999994</v>
      </c>
    </row>
    <row r="97" spans="1:76" s="30" customFormat="1" ht="16.8">
      <c r="A97" s="21">
        <f>IF(H97&lt;&gt;"",1+MAX($A$8:A96),"")</f>
        <v>62</v>
      </c>
      <c r="B97" s="362"/>
      <c r="C97" s="144" t="s">
        <v>198</v>
      </c>
      <c r="D97" s="138">
        <f>46.51/1.33</f>
        <v>34.969924812030072</v>
      </c>
      <c r="E97" s="137">
        <v>0</v>
      </c>
      <c r="F97" s="138">
        <f t="shared" si="40"/>
        <v>34.969924812030072</v>
      </c>
      <c r="G97" s="156" t="s">
        <v>52</v>
      </c>
      <c r="H97" s="288">
        <v>1.3661256000000002</v>
      </c>
      <c r="I97" s="181">
        <f t="shared" si="41"/>
        <v>47.773309515789478</v>
      </c>
      <c r="J97" s="289">
        <v>4.3599999999999994</v>
      </c>
      <c r="K97" s="164">
        <f t="shared" ref="K97:K101" si="49">N97/M97</f>
        <v>3.0493774436090217</v>
      </c>
      <c r="L97" s="164">
        <f t="shared" si="43"/>
        <v>11.467889908256883</v>
      </c>
      <c r="M97" s="165">
        <f t="shared" si="44"/>
        <v>50</v>
      </c>
      <c r="N97" s="166">
        <f t="shared" si="45"/>
        <v>152.46887218045109</v>
      </c>
      <c r="O97" s="331">
        <f t="shared" si="46"/>
        <v>200.24218169624055</v>
      </c>
      <c r="P97" s="167">
        <f t="shared" si="47"/>
        <v>5.7261255999999987</v>
      </c>
    </row>
    <row r="98" spans="1:76" s="30" customFormat="1" ht="16.8">
      <c r="A98" s="265">
        <f>IF(H98&lt;&gt;"",1+MAX($A$8:A97),"")</f>
        <v>63</v>
      </c>
      <c r="B98" s="362"/>
      <c r="C98" s="236" t="s">
        <v>288</v>
      </c>
      <c r="D98" s="234">
        <v>1</v>
      </c>
      <c r="E98" s="235">
        <v>0</v>
      </c>
      <c r="F98" s="234">
        <f t="shared" si="40"/>
        <v>1</v>
      </c>
      <c r="G98" s="180" t="s">
        <v>52</v>
      </c>
      <c r="H98" s="288">
        <v>25.83278456</v>
      </c>
      <c r="I98" s="181">
        <f t="shared" si="41"/>
        <v>25.83278456</v>
      </c>
      <c r="J98" s="289">
        <v>34.619999999999997</v>
      </c>
      <c r="K98" s="231">
        <f t="shared" si="49"/>
        <v>0.6923999999999999</v>
      </c>
      <c r="L98" s="231">
        <f t="shared" si="43"/>
        <v>1.4442518775274409</v>
      </c>
      <c r="M98" s="232">
        <f t="shared" ref="M98:M104" si="50">M$87</f>
        <v>50</v>
      </c>
      <c r="N98" s="233">
        <f t="shared" si="45"/>
        <v>34.619999999999997</v>
      </c>
      <c r="O98" s="284">
        <f t="shared" si="46"/>
        <v>60.452784559999998</v>
      </c>
      <c r="P98" s="182">
        <f t="shared" si="47"/>
        <v>60.452784559999998</v>
      </c>
    </row>
    <row r="99" spans="1:76" s="30" customFormat="1" ht="16.8">
      <c r="A99" s="265">
        <f>IF(H99&lt;&gt;"",1+MAX($A$8:A98),"")</f>
        <v>64</v>
      </c>
      <c r="B99" s="362"/>
      <c r="C99" s="236" t="s">
        <v>386</v>
      </c>
      <c r="D99" s="234">
        <v>1</v>
      </c>
      <c r="E99" s="235">
        <v>0</v>
      </c>
      <c r="F99" s="234">
        <f t="shared" ref="F99" si="51">(1+E99)*D99</f>
        <v>1</v>
      </c>
      <c r="G99" s="180" t="s">
        <v>52</v>
      </c>
      <c r="H99" s="288">
        <v>25.83278456</v>
      </c>
      <c r="I99" s="181">
        <f t="shared" si="41"/>
        <v>25.83278456</v>
      </c>
      <c r="J99" s="289">
        <v>34.619999999999997</v>
      </c>
      <c r="K99" s="231">
        <f t="shared" ref="K99" si="52">N99/M99</f>
        <v>0.6923999999999999</v>
      </c>
      <c r="L99" s="231">
        <f t="shared" si="43"/>
        <v>1.4442518775274409</v>
      </c>
      <c r="M99" s="232">
        <f t="shared" si="50"/>
        <v>50</v>
      </c>
      <c r="N99" s="233">
        <f t="shared" si="45"/>
        <v>34.619999999999997</v>
      </c>
      <c r="O99" s="284">
        <f t="shared" si="46"/>
        <v>60.452784559999998</v>
      </c>
      <c r="P99" s="182">
        <f t="shared" si="47"/>
        <v>60.452784559999998</v>
      </c>
    </row>
    <row r="100" spans="1:76" s="30" customFormat="1" ht="16.8">
      <c r="A100" s="265">
        <f>IF(H100&lt;&gt;"",1+MAX($A$8:A99),"")</f>
        <v>65</v>
      </c>
      <c r="B100" s="362"/>
      <c r="C100" s="236" t="s">
        <v>289</v>
      </c>
      <c r="D100" s="234">
        <v>2</v>
      </c>
      <c r="E100" s="235">
        <v>0</v>
      </c>
      <c r="F100" s="234">
        <f t="shared" si="40"/>
        <v>2</v>
      </c>
      <c r="G100" s="180" t="s">
        <v>52</v>
      </c>
      <c r="H100" s="288">
        <v>13.65475064</v>
      </c>
      <c r="I100" s="181">
        <f t="shared" si="41"/>
        <v>27.309501279999999</v>
      </c>
      <c r="J100" s="289">
        <v>10.18</v>
      </c>
      <c r="K100" s="231">
        <f t="shared" si="49"/>
        <v>0.40720000000000001</v>
      </c>
      <c r="L100" s="231">
        <f t="shared" si="43"/>
        <v>4.9115913555992137</v>
      </c>
      <c r="M100" s="232">
        <f t="shared" si="50"/>
        <v>50</v>
      </c>
      <c r="N100" s="233">
        <f t="shared" si="45"/>
        <v>20.36</v>
      </c>
      <c r="O100" s="284">
        <f t="shared" si="46"/>
        <v>47.669501279999999</v>
      </c>
      <c r="P100" s="182">
        <f t="shared" si="47"/>
        <v>23.834750639999999</v>
      </c>
    </row>
    <row r="101" spans="1:76" s="30" customFormat="1" ht="16.8">
      <c r="A101" s="265">
        <f>IF(H101&lt;&gt;"",1+MAX($A$8:A100),"")</f>
        <v>66</v>
      </c>
      <c r="B101" s="362"/>
      <c r="C101" s="236" t="s">
        <v>387</v>
      </c>
      <c r="D101" s="234">
        <v>4</v>
      </c>
      <c r="E101" s="235">
        <v>0</v>
      </c>
      <c r="F101" s="234">
        <f t="shared" si="40"/>
        <v>4</v>
      </c>
      <c r="G101" s="180" t="s">
        <v>52</v>
      </c>
      <c r="H101" s="288">
        <v>25.83278456</v>
      </c>
      <c r="I101" s="181">
        <f t="shared" si="41"/>
        <v>103.33113824</v>
      </c>
      <c r="J101" s="289">
        <v>34.619999999999997</v>
      </c>
      <c r="K101" s="231">
        <f t="shared" si="49"/>
        <v>2.7695999999999996</v>
      </c>
      <c r="L101" s="231">
        <f t="shared" si="43"/>
        <v>1.4442518775274409</v>
      </c>
      <c r="M101" s="232">
        <f t="shared" si="50"/>
        <v>50</v>
      </c>
      <c r="N101" s="233">
        <f t="shared" si="45"/>
        <v>138.47999999999999</v>
      </c>
      <c r="O101" s="284">
        <f t="shared" si="46"/>
        <v>241.81113823999999</v>
      </c>
      <c r="P101" s="182">
        <f t="shared" si="47"/>
        <v>60.452784559999998</v>
      </c>
    </row>
    <row r="102" spans="1:76" s="30" customFormat="1" ht="16.8">
      <c r="A102" s="265">
        <f>IF(H102&lt;&gt;"",1+MAX($A$8:A101),"")</f>
        <v>67</v>
      </c>
      <c r="B102" s="362"/>
      <c r="C102" s="236" t="s">
        <v>388</v>
      </c>
      <c r="D102" s="234">
        <v>4</v>
      </c>
      <c r="E102" s="235">
        <v>0</v>
      </c>
      <c r="F102" s="234">
        <f t="shared" ref="F102:F103" si="53">(1+E102)*D102</f>
        <v>4</v>
      </c>
      <c r="G102" s="180" t="s">
        <v>52</v>
      </c>
      <c r="H102" s="288">
        <v>25.83278456</v>
      </c>
      <c r="I102" s="181">
        <f t="shared" si="41"/>
        <v>103.33113824</v>
      </c>
      <c r="J102" s="289">
        <v>34.619999999999997</v>
      </c>
      <c r="K102" s="231">
        <f t="shared" ref="K102:K103" si="54">N102/M102</f>
        <v>2.7695999999999996</v>
      </c>
      <c r="L102" s="231">
        <f t="shared" si="43"/>
        <v>1.4442518775274409</v>
      </c>
      <c r="M102" s="232">
        <f t="shared" si="50"/>
        <v>50</v>
      </c>
      <c r="N102" s="233">
        <f t="shared" si="45"/>
        <v>138.47999999999999</v>
      </c>
      <c r="O102" s="284">
        <f t="shared" si="46"/>
        <v>241.81113823999999</v>
      </c>
      <c r="P102" s="182">
        <f t="shared" si="47"/>
        <v>60.452784559999998</v>
      </c>
    </row>
    <row r="103" spans="1:76" s="30" customFormat="1" ht="16.8">
      <c r="A103" s="265">
        <f>IF(H103&lt;&gt;"",1+MAX($A$8:A102),"")</f>
        <v>68</v>
      </c>
      <c r="B103" s="362"/>
      <c r="C103" s="236" t="s">
        <v>389</v>
      </c>
      <c r="D103" s="234">
        <v>8</v>
      </c>
      <c r="E103" s="235">
        <v>0</v>
      </c>
      <c r="F103" s="234">
        <f t="shared" si="53"/>
        <v>8</v>
      </c>
      <c r="G103" s="180" t="s">
        <v>52</v>
      </c>
      <c r="H103" s="288">
        <v>18.6703832</v>
      </c>
      <c r="I103" s="181">
        <f t="shared" si="41"/>
        <v>149.3630656</v>
      </c>
      <c r="J103" s="289">
        <v>25.03</v>
      </c>
      <c r="K103" s="231">
        <f t="shared" si="54"/>
        <v>4.0048000000000004</v>
      </c>
      <c r="L103" s="231">
        <f t="shared" si="43"/>
        <v>1.9976028765481419</v>
      </c>
      <c r="M103" s="232">
        <f t="shared" si="50"/>
        <v>50</v>
      </c>
      <c r="N103" s="233">
        <f t="shared" si="45"/>
        <v>200.24</v>
      </c>
      <c r="O103" s="284">
        <f t="shared" si="46"/>
        <v>349.60306560000004</v>
      </c>
      <c r="P103" s="182">
        <f t="shared" si="47"/>
        <v>43.700383200000005</v>
      </c>
    </row>
    <row r="104" spans="1:76" s="30" customFormat="1" ht="16.8">
      <c r="A104" s="265">
        <f>IF(H104&lt;&gt;"",1+MAX($A$8:A103),"")</f>
        <v>69</v>
      </c>
      <c r="B104" s="363"/>
      <c r="C104" s="236" t="s">
        <v>390</v>
      </c>
      <c r="D104" s="234">
        <v>8</v>
      </c>
      <c r="E104" s="235">
        <v>0</v>
      </c>
      <c r="F104" s="234">
        <f t="shared" ref="F104" si="55">(1+E104)*D104</f>
        <v>8</v>
      </c>
      <c r="G104" s="180" t="s">
        <v>52</v>
      </c>
      <c r="H104" s="288">
        <v>18.6703832</v>
      </c>
      <c r="I104" s="181">
        <f t="shared" si="41"/>
        <v>149.3630656</v>
      </c>
      <c r="J104" s="289">
        <v>25.03</v>
      </c>
      <c r="K104" s="231">
        <f t="shared" ref="K104" si="56">N104/M104</f>
        <v>4.0048000000000004</v>
      </c>
      <c r="L104" s="231">
        <f t="shared" si="43"/>
        <v>1.9976028765481419</v>
      </c>
      <c r="M104" s="232">
        <f t="shared" si="50"/>
        <v>50</v>
      </c>
      <c r="N104" s="233">
        <f t="shared" si="45"/>
        <v>200.24</v>
      </c>
      <c r="O104" s="284">
        <f t="shared" si="46"/>
        <v>349.60306560000004</v>
      </c>
      <c r="P104" s="182">
        <f t="shared" si="47"/>
        <v>43.700383200000005</v>
      </c>
    </row>
    <row r="105" spans="1:76" s="30" customFormat="1" ht="16.8">
      <c r="A105" s="21" t="str">
        <f>IF(H105&lt;&gt;"",1+MAX($A$8:A104),"")</f>
        <v/>
      </c>
      <c r="B105" s="364" t="s">
        <v>199</v>
      </c>
      <c r="C105" s="147" t="s">
        <v>155</v>
      </c>
      <c r="D105" s="142"/>
      <c r="E105" s="143"/>
      <c r="F105" s="142"/>
      <c r="G105" s="159"/>
      <c r="H105" s="139"/>
      <c r="I105" s="135"/>
      <c r="J105" s="139"/>
      <c r="K105" s="135"/>
      <c r="L105" s="139"/>
      <c r="M105" s="140"/>
      <c r="N105" s="141"/>
      <c r="O105" s="331"/>
      <c r="P105" s="167"/>
    </row>
    <row r="106" spans="1:76" s="30" customFormat="1" ht="16.8">
      <c r="A106" s="21">
        <f>IF(H106&lt;&gt;"",1+MAX($A$8:A105),"")</f>
        <v>70</v>
      </c>
      <c r="B106" s="365"/>
      <c r="C106" s="155" t="s">
        <v>391</v>
      </c>
      <c r="D106" s="154">
        <v>18.5</v>
      </c>
      <c r="E106" s="152">
        <v>0.05</v>
      </c>
      <c r="F106" s="150">
        <f t="shared" ref="F106" si="57">(1+E106)*D106</f>
        <v>19.425000000000001</v>
      </c>
      <c r="G106" s="160" t="s">
        <v>51</v>
      </c>
      <c r="H106" s="288">
        <v>15.04039232</v>
      </c>
      <c r="I106" s="181">
        <f>H106*F106</f>
        <v>292.15962081600003</v>
      </c>
      <c r="J106" s="289">
        <v>14.53</v>
      </c>
      <c r="K106" s="164">
        <f t="shared" ref="K106" si="58">N106/M106</f>
        <v>5.3761000000000001</v>
      </c>
      <c r="L106" s="164">
        <f>D106/K106</f>
        <v>3.4411562284927735</v>
      </c>
      <c r="M106" s="165">
        <f>M$87</f>
        <v>50</v>
      </c>
      <c r="N106" s="166">
        <f>D106*J106</f>
        <v>268.80500000000001</v>
      </c>
      <c r="O106" s="331">
        <f>N106+I106</f>
        <v>560.96462081599998</v>
      </c>
      <c r="P106" s="167">
        <f>O106/F106</f>
        <v>28.878487558095237</v>
      </c>
    </row>
    <row r="107" spans="1:76" s="31" customFormat="1" ht="16.8">
      <c r="A107" s="21" t="str">
        <f>IF(H107&lt;&gt;"",1+MAX($A$8:A106),"")</f>
        <v/>
      </c>
      <c r="B107" s="38"/>
      <c r="C107" s="42"/>
      <c r="D107" s="25"/>
      <c r="E107" s="24"/>
      <c r="F107" s="25"/>
      <c r="G107" s="158"/>
      <c r="H107" s="319"/>
      <c r="I107" s="27"/>
      <c r="J107" s="139"/>
      <c r="K107" s="135"/>
      <c r="L107" s="43"/>
      <c r="M107" s="41"/>
      <c r="N107" s="28"/>
      <c r="O107" s="331"/>
      <c r="P107" s="167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  <c r="BM107" s="30"/>
      <c r="BN107" s="30"/>
      <c r="BO107" s="30"/>
      <c r="BP107" s="30"/>
      <c r="BQ107" s="30"/>
      <c r="BR107" s="30"/>
      <c r="BS107" s="30"/>
      <c r="BT107" s="30"/>
      <c r="BU107" s="30"/>
      <c r="BV107" s="30"/>
      <c r="BW107" s="30"/>
      <c r="BX107" s="30"/>
    </row>
    <row r="108" spans="1:76" s="33" customFormat="1" ht="19.2">
      <c r="A108" s="263" t="str">
        <f>IF(H108&lt;&gt;"",1+MAX($A$8:A107),"")</f>
        <v/>
      </c>
      <c r="B108" s="359" t="s">
        <v>55</v>
      </c>
      <c r="C108" s="360"/>
      <c r="D108" s="360"/>
      <c r="E108" s="360"/>
      <c r="F108" s="360"/>
      <c r="G108" s="360"/>
      <c r="H108" s="360"/>
      <c r="I108" s="360"/>
      <c r="J108" s="360"/>
      <c r="K108" s="360"/>
      <c r="L108" s="360"/>
      <c r="M108" s="261">
        <v>50</v>
      </c>
      <c r="N108" s="262"/>
      <c r="O108" s="282">
        <f>SUM(O110:O172)</f>
        <v>50811.968609876203</v>
      </c>
      <c r="P108" s="263"/>
      <c r="Q108" s="30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  <c r="BD108" s="32"/>
      <c r="BE108" s="32"/>
      <c r="BF108" s="32"/>
      <c r="BG108" s="32"/>
      <c r="BH108" s="32"/>
      <c r="BI108" s="32"/>
      <c r="BJ108" s="32"/>
      <c r="BK108" s="32"/>
      <c r="BL108" s="32"/>
      <c r="BM108" s="32"/>
      <c r="BN108" s="32"/>
      <c r="BO108" s="32"/>
      <c r="BP108" s="32"/>
      <c r="BQ108" s="32"/>
    </row>
    <row r="109" spans="1:76" s="31" customFormat="1" ht="16.8">
      <c r="A109" s="21" t="str">
        <f>IF(H109&lt;&gt;"",1+MAX($A$8:A108),"")</f>
        <v/>
      </c>
      <c r="B109" s="38"/>
      <c r="C109" s="315" t="s">
        <v>392</v>
      </c>
      <c r="D109" s="25"/>
      <c r="E109" s="24"/>
      <c r="F109" s="25"/>
      <c r="G109" s="158"/>
      <c r="H109" s="319"/>
      <c r="I109" s="27"/>
      <c r="J109" s="139"/>
      <c r="K109" s="135"/>
      <c r="L109" s="164"/>
      <c r="M109" s="165"/>
      <c r="N109" s="166"/>
      <c r="O109" s="331"/>
      <c r="P109" s="167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  <c r="BM109" s="30"/>
      <c r="BN109" s="30"/>
      <c r="BO109" s="30"/>
      <c r="BP109" s="30"/>
      <c r="BQ109" s="30"/>
      <c r="BR109" s="30"/>
      <c r="BS109" s="30"/>
      <c r="BT109" s="30"/>
      <c r="BU109" s="30"/>
      <c r="BV109" s="30"/>
      <c r="BW109" s="30"/>
      <c r="BX109" s="30"/>
    </row>
    <row r="110" spans="1:76" s="31" customFormat="1" ht="16.8">
      <c r="A110" s="21" t="str">
        <f>IF(H110&lt;&gt;"",1+MAX($A$8:A109),"")</f>
        <v/>
      </c>
      <c r="B110" s="361" t="s">
        <v>199</v>
      </c>
      <c r="C110" s="179" t="s">
        <v>130</v>
      </c>
      <c r="D110" s="269"/>
      <c r="E110" s="270"/>
      <c r="F110" s="269"/>
      <c r="G110" s="271"/>
      <c r="H110" s="283"/>
      <c r="I110" s="181"/>
      <c r="J110" s="283"/>
      <c r="K110" s="181"/>
      <c r="L110" s="231"/>
      <c r="M110" s="232"/>
      <c r="N110" s="233"/>
      <c r="O110" s="284"/>
      <c r="P110" s="182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  <c r="BM110" s="30"/>
      <c r="BN110" s="30"/>
      <c r="BO110" s="30"/>
      <c r="BP110" s="30"/>
      <c r="BQ110" s="30"/>
      <c r="BR110" s="30"/>
      <c r="BS110" s="30"/>
      <c r="BT110" s="30"/>
      <c r="BU110" s="30"/>
      <c r="BV110" s="30"/>
      <c r="BW110" s="30"/>
      <c r="BX110" s="30"/>
    </row>
    <row r="111" spans="1:76" s="31" customFormat="1" ht="16.8">
      <c r="A111" s="21">
        <f>IF(H111&lt;&gt;"",1+MAX($A$8:A110),"")</f>
        <v>71</v>
      </c>
      <c r="B111" s="362"/>
      <c r="C111" s="268" t="s">
        <v>369</v>
      </c>
      <c r="D111" s="269">
        <v>152</v>
      </c>
      <c r="E111" s="270">
        <v>0.05</v>
      </c>
      <c r="F111" s="269">
        <f t="shared" ref="F111" si="59">(1+E111)*D111</f>
        <v>159.6</v>
      </c>
      <c r="G111" s="271" t="s">
        <v>51</v>
      </c>
      <c r="H111" s="288">
        <v>1.37913632</v>
      </c>
      <c r="I111" s="181">
        <f>H111*F111</f>
        <v>220.11015667199999</v>
      </c>
      <c r="J111" s="289">
        <v>2.4499999999999997</v>
      </c>
      <c r="K111" s="231">
        <f t="shared" ref="K111" si="60">N111/M111</f>
        <v>7.4479999999999995</v>
      </c>
      <c r="L111" s="231">
        <f>D111/K111</f>
        <v>20.408163265306126</v>
      </c>
      <c r="M111" s="232">
        <f>$M$108</f>
        <v>50</v>
      </c>
      <c r="N111" s="233">
        <f>D111*J111</f>
        <v>372.4</v>
      </c>
      <c r="O111" s="284">
        <f>N111+I111</f>
        <v>592.51015667199999</v>
      </c>
      <c r="P111" s="182">
        <f>O111/F111</f>
        <v>3.7124696533333332</v>
      </c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  <c r="BM111" s="30"/>
      <c r="BN111" s="30"/>
      <c r="BO111" s="30"/>
      <c r="BP111" s="30"/>
      <c r="BQ111" s="30"/>
      <c r="BR111" s="30"/>
      <c r="BS111" s="30"/>
      <c r="BT111" s="30"/>
      <c r="BU111" s="30"/>
      <c r="BV111" s="30"/>
      <c r="BW111" s="30"/>
      <c r="BX111" s="30"/>
    </row>
    <row r="112" spans="1:76" s="31" customFormat="1" ht="16.8">
      <c r="A112" s="21" t="str">
        <f>IF(H112&lt;&gt;"",1+MAX($A$8:A111),"")</f>
        <v/>
      </c>
      <c r="B112" s="362"/>
      <c r="C112" s="179" t="s">
        <v>290</v>
      </c>
      <c r="D112" s="269"/>
      <c r="E112" s="270"/>
      <c r="F112" s="269"/>
      <c r="G112" s="271"/>
      <c r="H112" s="283"/>
      <c r="I112" s="181"/>
      <c r="J112" s="283"/>
      <c r="K112" s="181"/>
      <c r="L112" s="231"/>
      <c r="M112" s="232"/>
      <c r="N112" s="233"/>
      <c r="O112" s="284"/>
      <c r="P112" s="182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  <c r="BM112" s="30"/>
      <c r="BN112" s="30"/>
      <c r="BO112" s="30"/>
      <c r="BP112" s="30"/>
      <c r="BQ112" s="30"/>
      <c r="BR112" s="30"/>
      <c r="BS112" s="30"/>
      <c r="BT112" s="30"/>
      <c r="BU112" s="30"/>
      <c r="BV112" s="30"/>
      <c r="BW112" s="30"/>
      <c r="BX112" s="30"/>
    </row>
    <row r="113" spans="1:76" s="31" customFormat="1" ht="16.8">
      <c r="A113" s="21">
        <f>IF(H113&lt;&gt;"",1+MAX($A$8:A112),"")</f>
        <v>72</v>
      </c>
      <c r="B113" s="362"/>
      <c r="C113" s="268" t="s">
        <v>370</v>
      </c>
      <c r="D113" s="269">
        <v>32</v>
      </c>
      <c r="E113" s="270">
        <v>0.05</v>
      </c>
      <c r="F113" s="269">
        <f t="shared" ref="F113:F116" si="61">(1+E113)*D113</f>
        <v>33.6</v>
      </c>
      <c r="G113" s="271" t="s">
        <v>51</v>
      </c>
      <c r="H113" s="288">
        <v>18.337308767999996</v>
      </c>
      <c r="I113" s="181">
        <f t="shared" ref="I113:I116" si="62">H113*F113</f>
        <v>616.13357460479995</v>
      </c>
      <c r="J113" s="289">
        <v>9.83</v>
      </c>
      <c r="K113" s="231">
        <f t="shared" ref="K113:K116" si="63">N113/M113</f>
        <v>6.2911999999999999</v>
      </c>
      <c r="L113" s="231">
        <f>D113/K113</f>
        <v>5.0864699898270604</v>
      </c>
      <c r="M113" s="232">
        <f>$M$108</f>
        <v>50</v>
      </c>
      <c r="N113" s="233">
        <f>D113*J113</f>
        <v>314.56</v>
      </c>
      <c r="O113" s="284">
        <f>N113+I113</f>
        <v>930.69357460480001</v>
      </c>
      <c r="P113" s="182">
        <f>O113/F113</f>
        <v>27.69921352990476</v>
      </c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/>
    </row>
    <row r="114" spans="1:76" s="31" customFormat="1" ht="16.8">
      <c r="A114" s="21">
        <f>IF(H114&lt;&gt;"",1+MAX($A$8:A113),"")</f>
        <v>73</v>
      </c>
      <c r="B114" s="362"/>
      <c r="C114" s="268" t="s">
        <v>371</v>
      </c>
      <c r="D114" s="269">
        <v>44</v>
      </c>
      <c r="E114" s="270">
        <v>0.05</v>
      </c>
      <c r="F114" s="269">
        <f t="shared" si="61"/>
        <v>46.2</v>
      </c>
      <c r="G114" s="271" t="s">
        <v>51</v>
      </c>
      <c r="H114" s="288">
        <v>15.281090639999997</v>
      </c>
      <c r="I114" s="181">
        <f t="shared" si="62"/>
        <v>705.98638756799994</v>
      </c>
      <c r="J114" s="289">
        <v>8.1999999999999993</v>
      </c>
      <c r="K114" s="231">
        <f t="shared" si="63"/>
        <v>7.2159999999999993</v>
      </c>
      <c r="L114" s="231">
        <f>D114/K114</f>
        <v>6.0975609756097571</v>
      </c>
      <c r="M114" s="232">
        <f>$M$108</f>
        <v>50</v>
      </c>
      <c r="N114" s="233">
        <f>D114*J114</f>
        <v>360.79999999999995</v>
      </c>
      <c r="O114" s="284">
        <f>N114+I114</f>
        <v>1066.786387568</v>
      </c>
      <c r="P114" s="182">
        <f>O114/F114</f>
        <v>23.090614449523809</v>
      </c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  <c r="BM114" s="30"/>
      <c r="BN114" s="30"/>
      <c r="BO114" s="30"/>
      <c r="BP114" s="30"/>
      <c r="BQ114" s="30"/>
      <c r="BR114" s="30"/>
      <c r="BS114" s="30"/>
      <c r="BT114" s="30"/>
      <c r="BU114" s="30"/>
      <c r="BV114" s="30"/>
      <c r="BW114" s="30"/>
      <c r="BX114" s="30"/>
    </row>
    <row r="115" spans="1:76" s="31" customFormat="1" ht="16.8">
      <c r="A115" s="21">
        <f>IF(H115&lt;&gt;"",1+MAX($A$8:A114),"")</f>
        <v>74</v>
      </c>
      <c r="B115" s="362"/>
      <c r="C115" s="268" t="s">
        <v>372</v>
      </c>
      <c r="D115" s="269">
        <v>72</v>
      </c>
      <c r="E115" s="270">
        <v>0.05</v>
      </c>
      <c r="F115" s="269">
        <f t="shared" si="61"/>
        <v>75.600000000000009</v>
      </c>
      <c r="G115" s="271" t="s">
        <v>51</v>
      </c>
      <c r="H115" s="288">
        <v>11.903165340631578</v>
      </c>
      <c r="I115" s="181">
        <f t="shared" si="62"/>
        <v>899.87929975174734</v>
      </c>
      <c r="J115" s="289">
        <v>6.39</v>
      </c>
      <c r="K115" s="231">
        <f t="shared" si="63"/>
        <v>9.2015999999999991</v>
      </c>
      <c r="L115" s="231">
        <f>D115/K115</f>
        <v>7.8247261345852905</v>
      </c>
      <c r="M115" s="232">
        <f>$M$108</f>
        <v>50</v>
      </c>
      <c r="N115" s="233">
        <f>D115*J115</f>
        <v>460.08</v>
      </c>
      <c r="O115" s="284">
        <f>N115+I115</f>
        <v>1359.9592997517473</v>
      </c>
      <c r="P115" s="182">
        <f>O115/F115</f>
        <v>17.988879626345863</v>
      </c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  <c r="BM115" s="30"/>
      <c r="BN115" s="30"/>
      <c r="BO115" s="30"/>
      <c r="BP115" s="30"/>
      <c r="BQ115" s="30"/>
      <c r="BR115" s="30"/>
      <c r="BS115" s="30"/>
      <c r="BT115" s="30"/>
      <c r="BU115" s="30"/>
      <c r="BV115" s="30"/>
      <c r="BW115" s="30"/>
      <c r="BX115" s="30"/>
    </row>
    <row r="116" spans="1:76" s="31" customFormat="1" ht="16.8">
      <c r="A116" s="21">
        <f>IF(H116&lt;&gt;"",1+MAX($A$8:A115),"")</f>
        <v>75</v>
      </c>
      <c r="B116" s="362"/>
      <c r="C116" s="268" t="s">
        <v>373</v>
      </c>
      <c r="D116" s="269">
        <v>24</v>
      </c>
      <c r="E116" s="270">
        <v>0.05</v>
      </c>
      <c r="F116" s="269">
        <f t="shared" si="61"/>
        <v>25.200000000000003</v>
      </c>
      <c r="G116" s="271" t="s">
        <v>51</v>
      </c>
      <c r="H116" s="288">
        <v>22.92163596</v>
      </c>
      <c r="I116" s="181">
        <f t="shared" si="62"/>
        <v>577.62522619200001</v>
      </c>
      <c r="J116" s="289">
        <v>12.29</v>
      </c>
      <c r="K116" s="231">
        <f t="shared" si="63"/>
        <v>5.8991999999999996</v>
      </c>
      <c r="L116" s="231">
        <f>D116/K116</f>
        <v>4.0683482506102528</v>
      </c>
      <c r="M116" s="232">
        <f>$M$108</f>
        <v>50</v>
      </c>
      <c r="N116" s="233">
        <f>D116*J116</f>
        <v>294.95999999999998</v>
      </c>
      <c r="O116" s="284">
        <f>N116+I116</f>
        <v>872.58522619199994</v>
      </c>
      <c r="P116" s="182">
        <f>O116/F116</f>
        <v>34.626397864761898</v>
      </c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  <c r="BM116" s="30"/>
      <c r="BN116" s="30"/>
      <c r="BO116" s="30"/>
      <c r="BP116" s="30"/>
      <c r="BQ116" s="30"/>
      <c r="BR116" s="30"/>
      <c r="BS116" s="30"/>
      <c r="BT116" s="30"/>
      <c r="BU116" s="30"/>
      <c r="BV116" s="30"/>
      <c r="BW116" s="30"/>
      <c r="BX116" s="30"/>
    </row>
    <row r="117" spans="1:76" s="31" customFormat="1" ht="16.8">
      <c r="A117" s="21" t="str">
        <f>IF(H117&lt;&gt;"",1+MAX($A$8:A116),"")</f>
        <v/>
      </c>
      <c r="B117" s="362"/>
      <c r="C117" s="179" t="s">
        <v>131</v>
      </c>
      <c r="D117" s="269"/>
      <c r="E117" s="270"/>
      <c r="F117" s="269"/>
      <c r="G117" s="271"/>
      <c r="H117" s="283"/>
      <c r="I117" s="181"/>
      <c r="J117" s="283"/>
      <c r="K117" s="181"/>
      <c r="L117" s="231"/>
      <c r="M117" s="232"/>
      <c r="N117" s="233"/>
      <c r="O117" s="284"/>
      <c r="P117" s="182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  <c r="BM117" s="30"/>
      <c r="BN117" s="30"/>
      <c r="BO117" s="30"/>
      <c r="BP117" s="30"/>
      <c r="BQ117" s="30"/>
      <c r="BR117" s="30"/>
      <c r="BS117" s="30"/>
      <c r="BT117" s="30"/>
      <c r="BU117" s="30"/>
      <c r="BV117" s="30"/>
      <c r="BW117" s="30"/>
      <c r="BX117" s="30"/>
    </row>
    <row r="118" spans="1:76" s="31" customFormat="1" ht="16.8">
      <c r="A118" s="21">
        <f>IF(H118&lt;&gt;"",1+MAX($A$8:A117),"")</f>
        <v>76</v>
      </c>
      <c r="B118" s="362"/>
      <c r="C118" s="268" t="s">
        <v>291</v>
      </c>
      <c r="D118" s="269">
        <v>32</v>
      </c>
      <c r="E118" s="270">
        <v>0.05</v>
      </c>
      <c r="F118" s="269">
        <f t="shared" ref="F118:F120" si="64">(1+E118)*D118</f>
        <v>33.6</v>
      </c>
      <c r="G118" s="271" t="s">
        <v>51</v>
      </c>
      <c r="H118" s="288">
        <v>4.5602573599999996</v>
      </c>
      <c r="I118" s="181">
        <f t="shared" ref="I118:I120" si="65">H118*F118</f>
        <v>153.224647296</v>
      </c>
      <c r="J118" s="289">
        <v>3.78</v>
      </c>
      <c r="K118" s="231">
        <f t="shared" ref="K118:K120" si="66">N118/M118</f>
        <v>2.4192</v>
      </c>
      <c r="L118" s="231">
        <f>D118/K118</f>
        <v>13.227513227513228</v>
      </c>
      <c r="M118" s="232">
        <f>$M$108</f>
        <v>50</v>
      </c>
      <c r="N118" s="233">
        <f>D118*J118</f>
        <v>120.96</v>
      </c>
      <c r="O118" s="284">
        <f>N118+I118</f>
        <v>274.18464729599998</v>
      </c>
      <c r="P118" s="182">
        <f>O118/F118</f>
        <v>8.1602573599999992</v>
      </c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  <c r="BM118" s="30"/>
      <c r="BN118" s="30"/>
      <c r="BO118" s="30"/>
      <c r="BP118" s="30"/>
      <c r="BQ118" s="30"/>
      <c r="BR118" s="30"/>
      <c r="BS118" s="30"/>
      <c r="BT118" s="30"/>
      <c r="BU118" s="30"/>
      <c r="BV118" s="30"/>
      <c r="BW118" s="30"/>
      <c r="BX118" s="30"/>
    </row>
    <row r="119" spans="1:76" s="31" customFormat="1" ht="16.8">
      <c r="A119" s="21">
        <f>IF(H119&lt;&gt;"",1+MAX($A$8:A118),"")</f>
        <v>77</v>
      </c>
      <c r="B119" s="362"/>
      <c r="C119" s="268" t="s">
        <v>292</v>
      </c>
      <c r="D119" s="269">
        <v>14</v>
      </c>
      <c r="E119" s="270">
        <v>0.05</v>
      </c>
      <c r="F119" s="269">
        <f t="shared" si="64"/>
        <v>14.700000000000001</v>
      </c>
      <c r="G119" s="271" t="s">
        <v>51</v>
      </c>
      <c r="H119" s="288">
        <v>4.5602573599999996</v>
      </c>
      <c r="I119" s="181">
        <f t="shared" si="65"/>
        <v>67.035783191999997</v>
      </c>
      <c r="J119" s="289">
        <v>3.78</v>
      </c>
      <c r="K119" s="231">
        <f t="shared" si="66"/>
        <v>1.0583999999999998</v>
      </c>
      <c r="L119" s="231">
        <f>D119/K119</f>
        <v>13.22751322751323</v>
      </c>
      <c r="M119" s="232">
        <f>$M$108</f>
        <v>50</v>
      </c>
      <c r="N119" s="233">
        <f>D119*J119</f>
        <v>52.919999999999995</v>
      </c>
      <c r="O119" s="284">
        <f>N119+I119</f>
        <v>119.95578319199998</v>
      </c>
      <c r="P119" s="182">
        <f>O119/F119</f>
        <v>8.1602573599999975</v>
      </c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  <c r="BM119" s="30"/>
      <c r="BN119" s="30"/>
      <c r="BO119" s="30"/>
      <c r="BP119" s="30"/>
      <c r="BQ119" s="30"/>
      <c r="BR119" s="30"/>
      <c r="BS119" s="30"/>
      <c r="BT119" s="30"/>
      <c r="BU119" s="30"/>
      <c r="BV119" s="30"/>
      <c r="BW119" s="30"/>
      <c r="BX119" s="30"/>
    </row>
    <row r="120" spans="1:76" s="31" customFormat="1" ht="16.8">
      <c r="A120" s="21">
        <f>IF(H120&lt;&gt;"",1+MAX($A$8:A119),"")</f>
        <v>78</v>
      </c>
      <c r="B120" s="362"/>
      <c r="C120" s="268" t="s">
        <v>293</v>
      </c>
      <c r="D120" s="269">
        <v>64</v>
      </c>
      <c r="E120" s="270">
        <v>0.05</v>
      </c>
      <c r="F120" s="269">
        <f t="shared" si="64"/>
        <v>67.2</v>
      </c>
      <c r="G120" s="271" t="s">
        <v>51</v>
      </c>
      <c r="H120" s="288">
        <v>3.0380031199999999</v>
      </c>
      <c r="I120" s="181">
        <f t="shared" si="65"/>
        <v>204.15380966399999</v>
      </c>
      <c r="J120" s="289">
        <v>2.7899999999999996</v>
      </c>
      <c r="K120" s="231">
        <f t="shared" si="66"/>
        <v>3.5711999999999993</v>
      </c>
      <c r="L120" s="231">
        <f>D120/K120</f>
        <v>17.921146953405021</v>
      </c>
      <c r="M120" s="232">
        <f>$M$108</f>
        <v>50</v>
      </c>
      <c r="N120" s="233">
        <f>D120*J120</f>
        <v>178.55999999999997</v>
      </c>
      <c r="O120" s="284">
        <f>N120+I120</f>
        <v>382.713809664</v>
      </c>
      <c r="P120" s="182">
        <f>O120/F120</f>
        <v>5.6951459771428565</v>
      </c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  <c r="BM120" s="30"/>
      <c r="BN120" s="30"/>
      <c r="BO120" s="30"/>
      <c r="BP120" s="30"/>
      <c r="BQ120" s="30"/>
      <c r="BR120" s="30"/>
      <c r="BS120" s="30"/>
      <c r="BT120" s="30"/>
      <c r="BU120" s="30"/>
      <c r="BV120" s="30"/>
      <c r="BW120" s="30"/>
      <c r="BX120" s="30"/>
    </row>
    <row r="121" spans="1:76" s="31" customFormat="1" ht="16.8">
      <c r="A121" s="21" t="str">
        <f>IF(H121&lt;&gt;"",1+MAX($A$8:A120),"")</f>
        <v/>
      </c>
      <c r="B121" s="362"/>
      <c r="C121" s="147" t="s">
        <v>54</v>
      </c>
      <c r="D121" s="150"/>
      <c r="E121" s="152"/>
      <c r="F121" s="150"/>
      <c r="G121" s="160"/>
      <c r="H121" s="139"/>
      <c r="I121" s="135"/>
      <c r="J121" s="139"/>
      <c r="K121" s="135"/>
      <c r="L121" s="164"/>
      <c r="M121" s="232"/>
      <c r="N121" s="166"/>
      <c r="O121" s="331"/>
      <c r="P121" s="167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  <c r="BM121" s="30"/>
      <c r="BN121" s="30"/>
      <c r="BO121" s="30"/>
      <c r="BP121" s="30"/>
      <c r="BQ121" s="30"/>
      <c r="BR121" s="30"/>
      <c r="BS121" s="30"/>
      <c r="BT121" s="30"/>
      <c r="BU121" s="30"/>
      <c r="BV121" s="30"/>
      <c r="BW121" s="30"/>
      <c r="BX121" s="30"/>
    </row>
    <row r="122" spans="1:76" s="31" customFormat="1" ht="16.8">
      <c r="A122" s="21">
        <f>IF(H122&lt;&gt;"",1+MAX($A$8:A121),"")</f>
        <v>79</v>
      </c>
      <c r="B122" s="362"/>
      <c r="C122" s="153" t="s">
        <v>156</v>
      </c>
      <c r="D122" s="150">
        <f>122.7/1.33*8</f>
        <v>738.04511278195491</v>
      </c>
      <c r="E122" s="152">
        <v>0.05</v>
      </c>
      <c r="F122" s="150">
        <f t="shared" ref="F122:F125" si="67">(1+E122)*D122</f>
        <v>774.94736842105272</v>
      </c>
      <c r="G122" s="160" t="s">
        <v>51</v>
      </c>
      <c r="H122" s="288">
        <v>0.93677184000000002</v>
      </c>
      <c r="I122" s="181">
        <f t="shared" ref="I122:I125" si="68">H122*F122</f>
        <v>725.94887221894749</v>
      </c>
      <c r="J122" s="289">
        <v>2.0999999999999996</v>
      </c>
      <c r="K122" s="164">
        <f t="shared" ref="K122:K123" si="69">N122/M122</f>
        <v>30.997894736842099</v>
      </c>
      <c r="L122" s="164">
        <f>D122/K122</f>
        <v>23.809523809523814</v>
      </c>
      <c r="M122" s="232">
        <f>$M$108</f>
        <v>50</v>
      </c>
      <c r="N122" s="166">
        <f>D122*J122</f>
        <v>1549.894736842105</v>
      </c>
      <c r="O122" s="331">
        <f>N122+I122</f>
        <v>2275.8436090610526</v>
      </c>
      <c r="P122" s="167">
        <f>O122/F122</f>
        <v>2.9367718399999996</v>
      </c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  <c r="BM122" s="30"/>
      <c r="BN122" s="30"/>
      <c r="BO122" s="30"/>
      <c r="BP122" s="30"/>
      <c r="BQ122" s="30"/>
      <c r="BR122" s="30"/>
      <c r="BS122" s="30"/>
      <c r="BT122" s="30"/>
      <c r="BU122" s="30"/>
      <c r="BV122" s="30"/>
      <c r="BW122" s="30"/>
      <c r="BX122" s="30"/>
    </row>
    <row r="123" spans="1:76" s="31" customFormat="1" ht="16.8">
      <c r="A123" s="21">
        <f>IF(H123&lt;&gt;"",1+MAX($A$8:A122),"")</f>
        <v>80</v>
      </c>
      <c r="B123" s="362"/>
      <c r="C123" s="153" t="s">
        <v>157</v>
      </c>
      <c r="D123" s="150">
        <f>4.79/1.33*5</f>
        <v>18.007518796992482</v>
      </c>
      <c r="E123" s="152">
        <v>0.05</v>
      </c>
      <c r="F123" s="150">
        <f t="shared" si="67"/>
        <v>18.907894736842106</v>
      </c>
      <c r="G123" s="160" t="s">
        <v>51</v>
      </c>
      <c r="H123" s="288">
        <v>1.0083308</v>
      </c>
      <c r="I123" s="181">
        <f t="shared" si="68"/>
        <v>19.065412626315791</v>
      </c>
      <c r="J123" s="289">
        <v>2.21</v>
      </c>
      <c r="K123" s="164">
        <f t="shared" si="69"/>
        <v>0.79593233082706771</v>
      </c>
      <c r="L123" s="164">
        <f>D123/K123</f>
        <v>22.624434389140273</v>
      </c>
      <c r="M123" s="232">
        <f>$M$108</f>
        <v>50</v>
      </c>
      <c r="N123" s="166">
        <f>D123*J123</f>
        <v>39.796616541353387</v>
      </c>
      <c r="O123" s="331">
        <f>N123+I123</f>
        <v>58.862029167669178</v>
      </c>
      <c r="P123" s="167">
        <f>O123/F123</f>
        <v>3.1130927047619048</v>
      </c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  <c r="BM123" s="30"/>
      <c r="BN123" s="30"/>
      <c r="BO123" s="30"/>
      <c r="BP123" s="30"/>
      <c r="BQ123" s="30"/>
      <c r="BR123" s="30"/>
      <c r="BS123" s="30"/>
      <c r="BT123" s="30"/>
      <c r="BU123" s="30"/>
      <c r="BV123" s="30"/>
      <c r="BW123" s="30"/>
      <c r="BX123" s="30"/>
    </row>
    <row r="124" spans="1:76" s="31" customFormat="1" ht="16.8">
      <c r="A124" s="21">
        <f>IF(H124&lt;&gt;"",1+MAX($A$8:A123),"")</f>
        <v>81</v>
      </c>
      <c r="B124" s="362"/>
      <c r="C124" s="153" t="s">
        <v>158</v>
      </c>
      <c r="D124" s="150">
        <f>143/1.33*8</f>
        <v>860.1503759398496</v>
      </c>
      <c r="E124" s="152">
        <v>0.05</v>
      </c>
      <c r="F124" s="150">
        <f t="shared" si="67"/>
        <v>903.15789473684208</v>
      </c>
      <c r="G124" s="160" t="s">
        <v>51</v>
      </c>
      <c r="H124" s="288">
        <v>1.0083308</v>
      </c>
      <c r="I124" s="181">
        <f t="shared" si="68"/>
        <v>910.6819225263157</v>
      </c>
      <c r="J124" s="289">
        <v>2.21</v>
      </c>
      <c r="K124" s="164">
        <f t="shared" ref="K124:K125" si="70">N124/M124</f>
        <v>38.018646616541353</v>
      </c>
      <c r="L124" s="164">
        <f>D124/K124</f>
        <v>22.624434389140269</v>
      </c>
      <c r="M124" s="232">
        <f>$M$108</f>
        <v>50</v>
      </c>
      <c r="N124" s="166">
        <f>D124*J124</f>
        <v>1900.9323308270675</v>
      </c>
      <c r="O124" s="331">
        <f>N124+I124</f>
        <v>2811.614253353383</v>
      </c>
      <c r="P124" s="167">
        <f>O124/F124</f>
        <v>3.1130927047619044</v>
      </c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  <c r="BM124" s="30"/>
      <c r="BN124" s="30"/>
      <c r="BO124" s="30"/>
      <c r="BP124" s="30"/>
      <c r="BQ124" s="30"/>
      <c r="BR124" s="30"/>
      <c r="BS124" s="30"/>
      <c r="BT124" s="30"/>
      <c r="BU124" s="30"/>
      <c r="BV124" s="30"/>
      <c r="BW124" s="30"/>
      <c r="BX124" s="30"/>
    </row>
    <row r="125" spans="1:76" s="31" customFormat="1" ht="16.8">
      <c r="A125" s="21">
        <f>IF(H125&lt;&gt;"",1+MAX($A$8:A124),"")</f>
        <v>82</v>
      </c>
      <c r="B125" s="362"/>
      <c r="C125" s="153" t="s">
        <v>159</v>
      </c>
      <c r="D125" s="150">
        <f>189.32/1.33</f>
        <v>142.34586466165413</v>
      </c>
      <c r="E125" s="152">
        <v>0.05</v>
      </c>
      <c r="F125" s="150">
        <f t="shared" si="67"/>
        <v>149.46315789473684</v>
      </c>
      <c r="G125" s="160" t="s">
        <v>51</v>
      </c>
      <c r="H125" s="288">
        <v>1.0083308</v>
      </c>
      <c r="I125" s="181">
        <f t="shared" si="68"/>
        <v>150.70830557052631</v>
      </c>
      <c r="J125" s="289">
        <v>2.21</v>
      </c>
      <c r="K125" s="164">
        <f t="shared" si="70"/>
        <v>6.2916872180451131</v>
      </c>
      <c r="L125" s="164">
        <f>D125/K125</f>
        <v>22.624434389140269</v>
      </c>
      <c r="M125" s="232">
        <f>$M$108</f>
        <v>50</v>
      </c>
      <c r="N125" s="166">
        <f>D125*J125</f>
        <v>314.58436090225564</v>
      </c>
      <c r="O125" s="331">
        <f>N125+I125</f>
        <v>465.29266647278195</v>
      </c>
      <c r="P125" s="167">
        <f>O125/F125</f>
        <v>3.1130927047619048</v>
      </c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  <c r="BM125" s="30"/>
      <c r="BN125" s="30"/>
      <c r="BO125" s="30"/>
      <c r="BP125" s="30"/>
      <c r="BQ125" s="30"/>
      <c r="BR125" s="30"/>
      <c r="BS125" s="30"/>
      <c r="BT125" s="30"/>
      <c r="BU125" s="30"/>
      <c r="BV125" s="30"/>
      <c r="BW125" s="30"/>
      <c r="BX125" s="30"/>
    </row>
    <row r="126" spans="1:76" s="31" customFormat="1" ht="16.8">
      <c r="A126" s="21" t="str">
        <f>IF(H126&lt;&gt;"",1+MAX($A$8:A125),"")</f>
        <v/>
      </c>
      <c r="B126" s="362"/>
      <c r="C126" s="146" t="s">
        <v>132</v>
      </c>
      <c r="D126" s="150"/>
      <c r="E126" s="152"/>
      <c r="F126" s="150"/>
      <c r="G126" s="160"/>
      <c r="H126" s="139"/>
      <c r="I126" s="135"/>
      <c r="J126" s="139"/>
      <c r="K126" s="135"/>
      <c r="L126" s="164"/>
      <c r="M126" s="232"/>
      <c r="N126" s="166"/>
      <c r="O126" s="331"/>
      <c r="P126" s="167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  <c r="BM126" s="30"/>
      <c r="BN126" s="30"/>
      <c r="BO126" s="30"/>
      <c r="BP126" s="30"/>
      <c r="BQ126" s="30"/>
      <c r="BR126" s="30"/>
      <c r="BS126" s="30"/>
      <c r="BT126" s="30"/>
      <c r="BU126" s="30"/>
      <c r="BV126" s="30"/>
      <c r="BW126" s="30"/>
      <c r="BX126" s="30"/>
    </row>
    <row r="127" spans="1:76" s="31" customFormat="1" ht="16.8">
      <c r="A127" s="21">
        <f>IF(H127&lt;&gt;"",1+MAX($A$8:A126),"")</f>
        <v>83</v>
      </c>
      <c r="B127" s="362"/>
      <c r="C127" s="153" t="s">
        <v>160</v>
      </c>
      <c r="D127" s="150">
        <f>122.7*2</f>
        <v>245.4</v>
      </c>
      <c r="E127" s="152">
        <v>0.05</v>
      </c>
      <c r="F127" s="150">
        <f t="shared" ref="F127:F132" si="71">(1+E127)*D127</f>
        <v>257.67</v>
      </c>
      <c r="G127" s="160" t="s">
        <v>51</v>
      </c>
      <c r="H127" s="288">
        <v>0.93677184000000002</v>
      </c>
      <c r="I127" s="181">
        <f t="shared" ref="I127:I132" si="72">H127*F127</f>
        <v>241.37800001280002</v>
      </c>
      <c r="J127" s="289">
        <v>2.0999999999999996</v>
      </c>
      <c r="K127" s="164">
        <f t="shared" ref="K127:K129" si="73">N127/M127</f>
        <v>10.306799999999999</v>
      </c>
      <c r="L127" s="164">
        <f t="shared" ref="L127:L132" si="74">D127/K127</f>
        <v>23.809523809523814</v>
      </c>
      <c r="M127" s="232">
        <f t="shared" ref="M127:M132" si="75">$M$108</f>
        <v>50</v>
      </c>
      <c r="N127" s="166">
        <f t="shared" ref="N127:N132" si="76">D127*J127</f>
        <v>515.33999999999992</v>
      </c>
      <c r="O127" s="331">
        <f t="shared" ref="O127:O132" si="77">N127+I127</f>
        <v>756.71800001279996</v>
      </c>
      <c r="P127" s="167">
        <f t="shared" ref="P127:P132" si="78">O127/F127</f>
        <v>2.9367718399999996</v>
      </c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  <c r="BM127" s="30"/>
      <c r="BN127" s="30"/>
      <c r="BO127" s="30"/>
      <c r="BP127" s="30"/>
      <c r="BQ127" s="30"/>
      <c r="BR127" s="30"/>
      <c r="BS127" s="30"/>
      <c r="BT127" s="30"/>
      <c r="BU127" s="30"/>
      <c r="BV127" s="30"/>
      <c r="BW127" s="30"/>
      <c r="BX127" s="30"/>
    </row>
    <row r="128" spans="1:76" s="31" customFormat="1" ht="16.8">
      <c r="A128" s="21">
        <f>IF(H128&lt;&gt;"",1+MAX($A$8:A127),"")</f>
        <v>84</v>
      </c>
      <c r="B128" s="362"/>
      <c r="C128" s="153" t="s">
        <v>161</v>
      </c>
      <c r="D128" s="150">
        <v>116.1</v>
      </c>
      <c r="E128" s="152">
        <v>0.05</v>
      </c>
      <c r="F128" s="150">
        <f t="shared" si="71"/>
        <v>121.905</v>
      </c>
      <c r="G128" s="160" t="s">
        <v>51</v>
      </c>
      <c r="H128" s="288">
        <v>0.93677184000000002</v>
      </c>
      <c r="I128" s="181">
        <f t="shared" si="72"/>
        <v>114.19717115520001</v>
      </c>
      <c r="J128" s="289">
        <v>2.0999999999999996</v>
      </c>
      <c r="K128" s="164">
        <f t="shared" si="73"/>
        <v>4.876199999999999</v>
      </c>
      <c r="L128" s="164">
        <f t="shared" si="74"/>
        <v>23.809523809523814</v>
      </c>
      <c r="M128" s="232">
        <f t="shared" si="75"/>
        <v>50</v>
      </c>
      <c r="N128" s="166">
        <f t="shared" si="76"/>
        <v>243.80999999999995</v>
      </c>
      <c r="O128" s="331">
        <f t="shared" si="77"/>
        <v>358.00717115519996</v>
      </c>
      <c r="P128" s="167">
        <f t="shared" si="78"/>
        <v>2.9367718399999996</v>
      </c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  <c r="BM128" s="30"/>
      <c r="BN128" s="30"/>
      <c r="BO128" s="30"/>
      <c r="BP128" s="30"/>
      <c r="BQ128" s="30"/>
      <c r="BR128" s="30"/>
      <c r="BS128" s="30"/>
      <c r="BT128" s="30"/>
      <c r="BU128" s="30"/>
      <c r="BV128" s="30"/>
      <c r="BW128" s="30"/>
      <c r="BX128" s="30"/>
    </row>
    <row r="129" spans="1:76" s="31" customFormat="1" ht="16.8">
      <c r="A129" s="21">
        <f>IF(H129&lt;&gt;"",1+MAX($A$8:A128),"")</f>
        <v>85</v>
      </c>
      <c r="B129" s="362"/>
      <c r="C129" s="153" t="s">
        <v>162</v>
      </c>
      <c r="D129" s="150">
        <v>6.6</v>
      </c>
      <c r="E129" s="152">
        <v>0.05</v>
      </c>
      <c r="F129" s="150">
        <f t="shared" si="71"/>
        <v>6.93</v>
      </c>
      <c r="G129" s="160" t="s">
        <v>51</v>
      </c>
      <c r="H129" s="288">
        <v>0.93677184000000002</v>
      </c>
      <c r="I129" s="181">
        <f t="shared" si="72"/>
        <v>6.4918288512000002</v>
      </c>
      <c r="J129" s="289">
        <v>2.0999999999999996</v>
      </c>
      <c r="K129" s="164">
        <f t="shared" si="73"/>
        <v>0.27719999999999995</v>
      </c>
      <c r="L129" s="164">
        <f t="shared" si="74"/>
        <v>23.809523809523814</v>
      </c>
      <c r="M129" s="232">
        <f t="shared" si="75"/>
        <v>50</v>
      </c>
      <c r="N129" s="166">
        <f t="shared" si="76"/>
        <v>13.859999999999998</v>
      </c>
      <c r="O129" s="331">
        <f t="shared" si="77"/>
        <v>20.351828851199997</v>
      </c>
      <c r="P129" s="167">
        <f t="shared" si="78"/>
        <v>2.9367718399999996</v>
      </c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  <c r="BM129" s="30"/>
      <c r="BN129" s="30"/>
      <c r="BO129" s="30"/>
      <c r="BP129" s="30"/>
      <c r="BQ129" s="30"/>
      <c r="BR129" s="30"/>
      <c r="BS129" s="30"/>
      <c r="BT129" s="30"/>
      <c r="BU129" s="30"/>
      <c r="BV129" s="30"/>
      <c r="BW129" s="30"/>
      <c r="BX129" s="30"/>
    </row>
    <row r="130" spans="1:76" s="31" customFormat="1" ht="16.8">
      <c r="A130" s="21">
        <f>IF(H130&lt;&gt;"",1+MAX($A$8:A129),"")</f>
        <v>86</v>
      </c>
      <c r="B130" s="362"/>
      <c r="C130" s="153" t="s">
        <v>163</v>
      </c>
      <c r="D130" s="150">
        <f>(4.79+143)*2</f>
        <v>295.58</v>
      </c>
      <c r="E130" s="152">
        <v>0.05</v>
      </c>
      <c r="F130" s="150">
        <f t="shared" ref="F130" si="79">(1+E130)*D130</f>
        <v>310.35899999999998</v>
      </c>
      <c r="G130" s="160" t="s">
        <v>51</v>
      </c>
      <c r="H130" s="288">
        <v>1.0083308</v>
      </c>
      <c r="I130" s="181">
        <f t="shared" si="72"/>
        <v>312.94453875719995</v>
      </c>
      <c r="J130" s="289">
        <v>2.21</v>
      </c>
      <c r="K130" s="164">
        <f t="shared" ref="K130:K132" si="80">N130/M130</f>
        <v>13.064635999999998</v>
      </c>
      <c r="L130" s="164">
        <f t="shared" si="74"/>
        <v>22.624434389140273</v>
      </c>
      <c r="M130" s="232">
        <f t="shared" si="75"/>
        <v>50</v>
      </c>
      <c r="N130" s="166">
        <f t="shared" si="76"/>
        <v>653.23179999999991</v>
      </c>
      <c r="O130" s="331">
        <f t="shared" si="77"/>
        <v>966.1763387571998</v>
      </c>
      <c r="P130" s="167">
        <f t="shared" si="78"/>
        <v>3.1130927047619044</v>
      </c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  <c r="BM130" s="30"/>
      <c r="BN130" s="30"/>
      <c r="BO130" s="30"/>
      <c r="BP130" s="30"/>
      <c r="BQ130" s="30"/>
      <c r="BR130" s="30"/>
      <c r="BS130" s="30"/>
      <c r="BT130" s="30"/>
      <c r="BU130" s="30"/>
      <c r="BV130" s="30"/>
      <c r="BW130" s="30"/>
      <c r="BX130" s="30"/>
    </row>
    <row r="131" spans="1:76" s="31" customFormat="1" ht="16.8">
      <c r="A131" s="21">
        <f>IF(H131&lt;&gt;"",1+MAX($A$8:A130),"")</f>
        <v>87</v>
      </c>
      <c r="B131" s="362"/>
      <c r="C131" s="153" t="s">
        <v>164</v>
      </c>
      <c r="D131" s="150">
        <f>147.8-39.5</f>
        <v>108.30000000000001</v>
      </c>
      <c r="E131" s="152">
        <v>0.05</v>
      </c>
      <c r="F131" s="150">
        <f t="shared" si="71"/>
        <v>113.71500000000002</v>
      </c>
      <c r="G131" s="160" t="s">
        <v>51</v>
      </c>
      <c r="H131" s="288">
        <v>1.0083308</v>
      </c>
      <c r="I131" s="181">
        <f t="shared" si="72"/>
        <v>114.66233692200001</v>
      </c>
      <c r="J131" s="289">
        <v>2.21</v>
      </c>
      <c r="K131" s="164">
        <f t="shared" si="80"/>
        <v>4.7868600000000008</v>
      </c>
      <c r="L131" s="164">
        <f t="shared" si="74"/>
        <v>22.624434389140269</v>
      </c>
      <c r="M131" s="232">
        <f t="shared" si="75"/>
        <v>50</v>
      </c>
      <c r="N131" s="166">
        <f t="shared" si="76"/>
        <v>239.34300000000002</v>
      </c>
      <c r="O131" s="331">
        <f t="shared" si="77"/>
        <v>354.00533692200003</v>
      </c>
      <c r="P131" s="167">
        <f t="shared" si="78"/>
        <v>3.1130927047619044</v>
      </c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  <c r="BM131" s="30"/>
      <c r="BN131" s="30"/>
      <c r="BO131" s="30"/>
      <c r="BP131" s="30"/>
      <c r="BQ131" s="30"/>
      <c r="BR131" s="30"/>
      <c r="BS131" s="30"/>
      <c r="BT131" s="30"/>
      <c r="BU131" s="30"/>
      <c r="BV131" s="30"/>
      <c r="BW131" s="30"/>
      <c r="BX131" s="30"/>
    </row>
    <row r="132" spans="1:76" s="31" customFormat="1" ht="16.8">
      <c r="A132" s="21">
        <f>IF(H132&lt;&gt;"",1+MAX($A$8:A131),"")</f>
        <v>88</v>
      </c>
      <c r="B132" s="362"/>
      <c r="C132" s="153" t="s">
        <v>165</v>
      </c>
      <c r="D132" s="150">
        <f>4.8+34.7</f>
        <v>39.5</v>
      </c>
      <c r="E132" s="152">
        <v>0.05</v>
      </c>
      <c r="F132" s="150">
        <f t="shared" si="71"/>
        <v>41.475000000000001</v>
      </c>
      <c r="G132" s="160" t="s">
        <v>51</v>
      </c>
      <c r="H132" s="288">
        <v>1.0083308</v>
      </c>
      <c r="I132" s="181">
        <f t="shared" si="72"/>
        <v>41.820519930000003</v>
      </c>
      <c r="J132" s="289">
        <v>2.21</v>
      </c>
      <c r="K132" s="164">
        <f t="shared" si="80"/>
        <v>1.7459</v>
      </c>
      <c r="L132" s="164">
        <f t="shared" si="74"/>
        <v>22.624434389140273</v>
      </c>
      <c r="M132" s="232">
        <f t="shared" si="75"/>
        <v>50</v>
      </c>
      <c r="N132" s="166">
        <f t="shared" si="76"/>
        <v>87.295000000000002</v>
      </c>
      <c r="O132" s="331">
        <f t="shared" si="77"/>
        <v>129.11551993</v>
      </c>
      <c r="P132" s="167">
        <f t="shared" si="78"/>
        <v>3.1130927047619048</v>
      </c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  <c r="BM132" s="30"/>
      <c r="BN132" s="30"/>
      <c r="BO132" s="30"/>
      <c r="BP132" s="30"/>
      <c r="BQ132" s="30"/>
      <c r="BR132" s="30"/>
      <c r="BS132" s="30"/>
      <c r="BT132" s="30"/>
      <c r="BU132" s="30"/>
      <c r="BV132" s="30"/>
      <c r="BW132" s="30"/>
      <c r="BX132" s="30"/>
    </row>
    <row r="133" spans="1:76" s="31" customFormat="1" ht="16.8">
      <c r="A133" s="21" t="str">
        <f>IF(H133&lt;&gt;"",1+MAX($A$8:A132),"")</f>
        <v/>
      </c>
      <c r="B133" s="362"/>
      <c r="C133" s="179" t="s">
        <v>383</v>
      </c>
      <c r="D133" s="269"/>
      <c r="E133" s="270"/>
      <c r="F133" s="269"/>
      <c r="G133" s="271"/>
      <c r="H133" s="283"/>
      <c r="I133" s="181"/>
      <c r="J133" s="283"/>
      <c r="K133" s="181"/>
      <c r="L133" s="231"/>
      <c r="M133" s="232"/>
      <c r="N133" s="233"/>
      <c r="O133" s="284"/>
      <c r="P133" s="182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  <c r="BM133" s="30"/>
      <c r="BN133" s="30"/>
      <c r="BO133" s="30"/>
      <c r="BP133" s="30"/>
      <c r="BQ133" s="30"/>
      <c r="BR133" s="30"/>
      <c r="BS133" s="30"/>
      <c r="BT133" s="30"/>
      <c r="BU133" s="30"/>
      <c r="BV133" s="30"/>
      <c r="BW133" s="30"/>
      <c r="BX133" s="30"/>
    </row>
    <row r="134" spans="1:76" s="31" customFormat="1" ht="16.8">
      <c r="A134" s="21">
        <f>IF(H134&lt;&gt;"",1+MAX($A$8:A133),"")</f>
        <v>89</v>
      </c>
      <c r="B134" s="362"/>
      <c r="C134" s="268" t="s">
        <v>374</v>
      </c>
      <c r="D134" s="269">
        <v>528</v>
      </c>
      <c r="E134" s="270">
        <v>0.05</v>
      </c>
      <c r="F134" s="269">
        <f t="shared" ref="F134" si="81">(1+E134)*D134</f>
        <v>554.4</v>
      </c>
      <c r="G134" s="271" t="s">
        <v>51</v>
      </c>
      <c r="H134" s="288">
        <v>1.0083308</v>
      </c>
      <c r="I134" s="181">
        <f t="shared" ref="I134:I135" si="82">H134*F134</f>
        <v>559.01859551999996</v>
      </c>
      <c r="J134" s="289">
        <v>2.21</v>
      </c>
      <c r="K134" s="164">
        <f t="shared" ref="K134:K135" si="83">N134/M134</f>
        <v>23.337599999999998</v>
      </c>
      <c r="L134" s="231">
        <f>D134/K134</f>
        <v>22.624434389140273</v>
      </c>
      <c r="M134" s="232">
        <f>$M$108</f>
        <v>50</v>
      </c>
      <c r="N134" s="233">
        <f>D134*J134</f>
        <v>1166.8799999999999</v>
      </c>
      <c r="O134" s="284">
        <f>N134+I134</f>
        <v>1725.8985955199998</v>
      </c>
      <c r="P134" s="182">
        <f>O134/F134</f>
        <v>3.1130927047619048</v>
      </c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  <c r="BM134" s="30"/>
      <c r="BN134" s="30"/>
      <c r="BO134" s="30"/>
      <c r="BP134" s="30"/>
      <c r="BQ134" s="30"/>
      <c r="BR134" s="30"/>
      <c r="BS134" s="30"/>
      <c r="BT134" s="30"/>
      <c r="BU134" s="30"/>
      <c r="BV134" s="30"/>
      <c r="BW134" s="30"/>
      <c r="BX134" s="30"/>
    </row>
    <row r="135" spans="1:76" s="31" customFormat="1" ht="16.8">
      <c r="A135" s="21">
        <f>IF(H135&lt;&gt;"",1+MAX($A$8:A134),"")</f>
        <v>90</v>
      </c>
      <c r="B135" s="363"/>
      <c r="C135" s="268" t="s">
        <v>384</v>
      </c>
      <c r="D135" s="269">
        <v>370</v>
      </c>
      <c r="E135" s="270">
        <v>0.05</v>
      </c>
      <c r="F135" s="269">
        <f t="shared" ref="F135" si="84">(1+E135)*D135</f>
        <v>388.5</v>
      </c>
      <c r="G135" s="271" t="s">
        <v>51</v>
      </c>
      <c r="H135" s="288">
        <v>1.0083308</v>
      </c>
      <c r="I135" s="181">
        <f t="shared" si="82"/>
        <v>391.73651580000001</v>
      </c>
      <c r="J135" s="289">
        <v>2.21</v>
      </c>
      <c r="K135" s="164">
        <f t="shared" si="83"/>
        <v>16.353999999999999</v>
      </c>
      <c r="L135" s="231">
        <f>D135/K135</f>
        <v>22.624434389140273</v>
      </c>
      <c r="M135" s="232">
        <f>$M$108</f>
        <v>50</v>
      </c>
      <c r="N135" s="233">
        <f>D135*J135</f>
        <v>817.69999999999993</v>
      </c>
      <c r="O135" s="284">
        <f>N135+I135</f>
        <v>1209.4365158000001</v>
      </c>
      <c r="P135" s="182">
        <f>O135/F135</f>
        <v>3.1130927047619048</v>
      </c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  <c r="BM135" s="30"/>
      <c r="BN135" s="30"/>
      <c r="BO135" s="30"/>
      <c r="BP135" s="30"/>
      <c r="BQ135" s="30"/>
      <c r="BR135" s="30"/>
      <c r="BS135" s="30"/>
      <c r="BT135" s="30"/>
      <c r="BU135" s="30"/>
      <c r="BV135" s="30"/>
      <c r="BW135" s="30"/>
      <c r="BX135" s="30"/>
    </row>
    <row r="136" spans="1:76" s="31" customFormat="1" ht="16.8">
      <c r="A136" s="21" t="str">
        <f>IF(H136&lt;&gt;"",1+MAX($A$8:A135),"")</f>
        <v/>
      </c>
      <c r="B136" s="361" t="s">
        <v>199</v>
      </c>
      <c r="C136" s="147" t="s">
        <v>133</v>
      </c>
      <c r="D136" s="150"/>
      <c r="E136" s="152"/>
      <c r="F136" s="150"/>
      <c r="G136" s="160"/>
      <c r="H136" s="139"/>
      <c r="I136" s="135"/>
      <c r="J136" s="139"/>
      <c r="K136" s="135"/>
      <c r="L136" s="164"/>
      <c r="M136" s="232"/>
      <c r="N136" s="166"/>
      <c r="O136" s="331"/>
      <c r="P136" s="167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  <c r="BM136" s="30"/>
      <c r="BN136" s="30"/>
      <c r="BO136" s="30"/>
      <c r="BP136" s="30"/>
      <c r="BQ136" s="30"/>
      <c r="BR136" s="30"/>
      <c r="BS136" s="30"/>
      <c r="BT136" s="30"/>
      <c r="BU136" s="30"/>
      <c r="BV136" s="30"/>
      <c r="BW136" s="30"/>
      <c r="BX136" s="30"/>
    </row>
    <row r="137" spans="1:76" s="31" customFormat="1" ht="16.8">
      <c r="A137" s="21">
        <f>IF(H137&lt;&gt;"",1+MAX($A$8:A136),"")</f>
        <v>91</v>
      </c>
      <c r="B137" s="362"/>
      <c r="C137" s="153" t="s">
        <v>166</v>
      </c>
      <c r="D137" s="150">
        <v>648</v>
      </c>
      <c r="E137" s="152">
        <v>0.05</v>
      </c>
      <c r="F137" s="150">
        <f t="shared" ref="F137:F141" si="85">(1+E137)*D137</f>
        <v>680.4</v>
      </c>
      <c r="G137" s="160" t="s">
        <v>51</v>
      </c>
      <c r="H137" s="288">
        <v>1.37913632</v>
      </c>
      <c r="I137" s="181">
        <f t="shared" ref="I137:I144" si="86">H137*F137</f>
        <v>938.36435212799995</v>
      </c>
      <c r="J137" s="289">
        <v>2.4499999999999997</v>
      </c>
      <c r="K137" s="231">
        <f t="shared" ref="K137" si="87">N137/M137</f>
        <v>31.751999999999999</v>
      </c>
      <c r="L137" s="231">
        <f t="shared" ref="L137:L144" si="88">D137/K137</f>
        <v>20.408163265306122</v>
      </c>
      <c r="M137" s="232">
        <f t="shared" ref="M137:M144" si="89">$M$108</f>
        <v>50</v>
      </c>
      <c r="N137" s="166">
        <f t="shared" ref="N137:N144" si="90">D137*J137</f>
        <v>1587.6</v>
      </c>
      <c r="O137" s="331">
        <f t="shared" ref="O137:O144" si="91">N137+I137</f>
        <v>2525.964352128</v>
      </c>
      <c r="P137" s="167">
        <f t="shared" ref="P137:P144" si="92">O137/F137</f>
        <v>3.7124696533333332</v>
      </c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  <c r="BM137" s="30"/>
      <c r="BN137" s="30"/>
      <c r="BO137" s="30"/>
      <c r="BP137" s="30"/>
      <c r="BQ137" s="30"/>
      <c r="BR137" s="30"/>
      <c r="BS137" s="30"/>
      <c r="BT137" s="30"/>
      <c r="BU137" s="30"/>
      <c r="BV137" s="30"/>
      <c r="BW137" s="30"/>
      <c r="BX137" s="30"/>
    </row>
    <row r="138" spans="1:76" s="31" customFormat="1" ht="16.8">
      <c r="A138" s="21">
        <f>IF(H138&lt;&gt;"",1+MAX($A$8:A137),"")</f>
        <v>92</v>
      </c>
      <c r="B138" s="362"/>
      <c r="C138" s="153" t="s">
        <v>167</v>
      </c>
      <c r="D138" s="150">
        <v>801</v>
      </c>
      <c r="E138" s="152">
        <v>0.05</v>
      </c>
      <c r="F138" s="150">
        <f t="shared" si="85"/>
        <v>841.05000000000007</v>
      </c>
      <c r="G138" s="160" t="s">
        <v>51</v>
      </c>
      <c r="H138" s="288">
        <v>1.1839755199999999</v>
      </c>
      <c r="I138" s="181">
        <f t="shared" si="86"/>
        <v>995.78261109599998</v>
      </c>
      <c r="J138" s="289">
        <v>2.3299999999999996</v>
      </c>
      <c r="K138" s="164">
        <f t="shared" ref="K138:K142" si="93">N138/M138</f>
        <v>37.326599999999992</v>
      </c>
      <c r="L138" s="164">
        <f t="shared" si="88"/>
        <v>21.459227467811164</v>
      </c>
      <c r="M138" s="232">
        <f t="shared" si="89"/>
        <v>50</v>
      </c>
      <c r="N138" s="166">
        <f t="shared" si="90"/>
        <v>1866.3299999999997</v>
      </c>
      <c r="O138" s="331">
        <f t="shared" si="91"/>
        <v>2862.1126110959995</v>
      </c>
      <c r="P138" s="167">
        <f t="shared" si="92"/>
        <v>3.403023139047618</v>
      </c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  <c r="BM138" s="30"/>
      <c r="BN138" s="30"/>
      <c r="BO138" s="30"/>
      <c r="BP138" s="30"/>
      <c r="BQ138" s="30"/>
      <c r="BR138" s="30"/>
      <c r="BS138" s="30"/>
      <c r="BT138" s="30"/>
      <c r="BU138" s="30"/>
      <c r="BV138" s="30"/>
      <c r="BW138" s="30"/>
      <c r="BX138" s="30"/>
    </row>
    <row r="139" spans="1:76" s="31" customFormat="1" ht="16.8">
      <c r="A139" s="21">
        <f>IF(H139&lt;&gt;"",1+MAX($A$8:A138),"")</f>
        <v>93</v>
      </c>
      <c r="B139" s="362"/>
      <c r="C139" s="153" t="s">
        <v>168</v>
      </c>
      <c r="D139" s="150">
        <v>1226</v>
      </c>
      <c r="E139" s="152">
        <v>0.05</v>
      </c>
      <c r="F139" s="150">
        <f t="shared" si="85"/>
        <v>1287.3</v>
      </c>
      <c r="G139" s="160" t="s">
        <v>51</v>
      </c>
      <c r="H139" s="288">
        <v>1.37913632</v>
      </c>
      <c r="I139" s="181">
        <f t="shared" si="86"/>
        <v>1775.3621847359998</v>
      </c>
      <c r="J139" s="289">
        <v>2.4499999999999997</v>
      </c>
      <c r="K139" s="231">
        <f t="shared" si="93"/>
        <v>60.073999999999998</v>
      </c>
      <c r="L139" s="231">
        <f t="shared" si="88"/>
        <v>20.408163265306122</v>
      </c>
      <c r="M139" s="232">
        <f t="shared" si="89"/>
        <v>50</v>
      </c>
      <c r="N139" s="166">
        <f t="shared" si="90"/>
        <v>3003.7</v>
      </c>
      <c r="O139" s="331">
        <f t="shared" si="91"/>
        <v>4779.0621847359998</v>
      </c>
      <c r="P139" s="167">
        <f t="shared" si="92"/>
        <v>3.7124696533333332</v>
      </c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  <c r="BM139" s="30"/>
      <c r="BN139" s="30"/>
      <c r="BO139" s="30"/>
      <c r="BP139" s="30"/>
      <c r="BQ139" s="30"/>
      <c r="BR139" s="30"/>
      <c r="BS139" s="30"/>
      <c r="BT139" s="30"/>
      <c r="BU139" s="30"/>
      <c r="BV139" s="30"/>
      <c r="BW139" s="30"/>
      <c r="BX139" s="30"/>
    </row>
    <row r="140" spans="1:76" s="31" customFormat="1" ht="16.8">
      <c r="A140" s="21">
        <f>IF(H140&lt;&gt;"",1+MAX($A$8:A139),"")</f>
        <v>94</v>
      </c>
      <c r="B140" s="362"/>
      <c r="C140" s="153" t="s">
        <v>169</v>
      </c>
      <c r="D140" s="150">
        <f>41.87/1.33*9</f>
        <v>283.33082706766913</v>
      </c>
      <c r="E140" s="152">
        <v>0.05</v>
      </c>
      <c r="F140" s="150">
        <f t="shared" si="85"/>
        <v>297.49736842105261</v>
      </c>
      <c r="G140" s="160" t="s">
        <v>51</v>
      </c>
      <c r="H140" s="288">
        <v>1.0083308</v>
      </c>
      <c r="I140" s="181">
        <f t="shared" si="86"/>
        <v>299.97575949789473</v>
      </c>
      <c r="J140" s="289">
        <v>2.21</v>
      </c>
      <c r="K140" s="164">
        <f t="shared" si="93"/>
        <v>12.523222556390976</v>
      </c>
      <c r="L140" s="164">
        <f t="shared" si="88"/>
        <v>22.624434389140269</v>
      </c>
      <c r="M140" s="232">
        <f t="shared" si="89"/>
        <v>50</v>
      </c>
      <c r="N140" s="166">
        <f t="shared" si="90"/>
        <v>626.16112781954882</v>
      </c>
      <c r="O140" s="331">
        <f t="shared" si="91"/>
        <v>926.13688731744355</v>
      </c>
      <c r="P140" s="167">
        <f t="shared" si="92"/>
        <v>3.1130927047619048</v>
      </c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  <c r="BM140" s="30"/>
      <c r="BN140" s="30"/>
      <c r="BO140" s="30"/>
      <c r="BP140" s="30"/>
      <c r="BQ140" s="30"/>
      <c r="BR140" s="30"/>
      <c r="BS140" s="30"/>
      <c r="BT140" s="30"/>
      <c r="BU140" s="30"/>
      <c r="BV140" s="30"/>
      <c r="BW140" s="30"/>
      <c r="BX140" s="30"/>
    </row>
    <row r="141" spans="1:76" s="31" customFormat="1" ht="16.8">
      <c r="A141" s="21">
        <f>IF(H141&lt;&gt;"",1+MAX($A$8:A140),"")</f>
        <v>95</v>
      </c>
      <c r="B141" s="362"/>
      <c r="C141" s="153" t="s">
        <v>170</v>
      </c>
      <c r="D141" s="150">
        <f>194.75/1.33*1</f>
        <v>146.42857142857142</v>
      </c>
      <c r="E141" s="152">
        <v>0.05</v>
      </c>
      <c r="F141" s="150">
        <f t="shared" si="85"/>
        <v>153.75</v>
      </c>
      <c r="G141" s="160" t="s">
        <v>51</v>
      </c>
      <c r="H141" s="288">
        <v>0.93677184000000002</v>
      </c>
      <c r="I141" s="181">
        <f t="shared" si="86"/>
        <v>144.02867040000001</v>
      </c>
      <c r="J141" s="289">
        <v>2.0999999999999996</v>
      </c>
      <c r="K141" s="164">
        <f t="shared" si="93"/>
        <v>6.1499999999999986</v>
      </c>
      <c r="L141" s="164">
        <f t="shared" si="88"/>
        <v>23.809523809523814</v>
      </c>
      <c r="M141" s="232">
        <f t="shared" si="89"/>
        <v>50</v>
      </c>
      <c r="N141" s="166">
        <f t="shared" si="90"/>
        <v>307.49999999999994</v>
      </c>
      <c r="O141" s="331">
        <f t="shared" si="91"/>
        <v>451.52867039999995</v>
      </c>
      <c r="P141" s="167">
        <f t="shared" si="92"/>
        <v>2.9367718399999996</v>
      </c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  <c r="BM141" s="30"/>
      <c r="BN141" s="30"/>
      <c r="BO141" s="30"/>
      <c r="BP141" s="30"/>
      <c r="BQ141" s="30"/>
      <c r="BR141" s="30"/>
      <c r="BS141" s="30"/>
      <c r="BT141" s="30"/>
      <c r="BU141" s="30"/>
      <c r="BV141" s="30"/>
      <c r="BW141" s="30"/>
      <c r="BX141" s="30"/>
    </row>
    <row r="142" spans="1:76" s="31" customFormat="1" ht="16.8">
      <c r="A142" s="21">
        <f>IF(H142&lt;&gt;"",1+MAX($A$8:A141),"")</f>
        <v>96</v>
      </c>
      <c r="B142" s="362"/>
      <c r="C142" s="153" t="s">
        <v>171</v>
      </c>
      <c r="D142" s="150">
        <v>95.75</v>
      </c>
      <c r="E142" s="152">
        <v>0.05</v>
      </c>
      <c r="F142" s="150">
        <f t="shared" ref="F142:F144" si="94">(1+E142)*D142</f>
        <v>100.53750000000001</v>
      </c>
      <c r="G142" s="160" t="s">
        <v>51</v>
      </c>
      <c r="H142" s="288">
        <v>1.37913632</v>
      </c>
      <c r="I142" s="181">
        <f t="shared" si="86"/>
        <v>138.654917772</v>
      </c>
      <c r="J142" s="289">
        <v>2.4499999999999997</v>
      </c>
      <c r="K142" s="231">
        <f t="shared" si="93"/>
        <v>4.6917499999999999</v>
      </c>
      <c r="L142" s="231">
        <f t="shared" si="88"/>
        <v>20.408163265306122</v>
      </c>
      <c r="M142" s="232">
        <f t="shared" si="89"/>
        <v>50</v>
      </c>
      <c r="N142" s="166">
        <f t="shared" si="90"/>
        <v>234.58749999999998</v>
      </c>
      <c r="O142" s="331">
        <f t="shared" si="91"/>
        <v>373.24241777199995</v>
      </c>
      <c r="P142" s="167">
        <f t="shared" si="92"/>
        <v>3.7124696533333323</v>
      </c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  <c r="BM142" s="30"/>
      <c r="BN142" s="30"/>
      <c r="BO142" s="30"/>
      <c r="BP142" s="30"/>
      <c r="BQ142" s="30"/>
      <c r="BR142" s="30"/>
      <c r="BS142" s="30"/>
      <c r="BT142" s="30"/>
      <c r="BU142" s="30"/>
      <c r="BV142" s="30"/>
      <c r="BW142" s="30"/>
      <c r="BX142" s="30"/>
    </row>
    <row r="143" spans="1:76" s="31" customFormat="1" ht="16.8">
      <c r="A143" s="21">
        <f>IF(H143&lt;&gt;"",1+MAX($A$8:A142),"")</f>
        <v>97</v>
      </c>
      <c r="B143" s="362"/>
      <c r="C143" s="153" t="s">
        <v>172</v>
      </c>
      <c r="D143" s="150">
        <v>121.1</v>
      </c>
      <c r="E143" s="152">
        <v>0.05</v>
      </c>
      <c r="F143" s="150">
        <f t="shared" ref="F143" si="95">(1+E143)*D143</f>
        <v>127.155</v>
      </c>
      <c r="G143" s="160" t="s">
        <v>51</v>
      </c>
      <c r="H143" s="288">
        <v>1.1839755199999999</v>
      </c>
      <c r="I143" s="181">
        <f t="shared" si="86"/>
        <v>150.5484072456</v>
      </c>
      <c r="J143" s="289">
        <v>2.3299999999999996</v>
      </c>
      <c r="K143" s="164">
        <f t="shared" ref="K143" si="96">N143/M143</f>
        <v>5.6432599999999988</v>
      </c>
      <c r="L143" s="164">
        <f t="shared" si="88"/>
        <v>21.459227467811161</v>
      </c>
      <c r="M143" s="232">
        <f t="shared" si="89"/>
        <v>50</v>
      </c>
      <c r="N143" s="166">
        <f t="shared" si="90"/>
        <v>282.16299999999995</v>
      </c>
      <c r="O143" s="331">
        <f t="shared" si="91"/>
        <v>432.71140724559996</v>
      </c>
      <c r="P143" s="167">
        <f t="shared" si="92"/>
        <v>3.4030231390476189</v>
      </c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  <c r="BM143" s="30"/>
      <c r="BN143" s="30"/>
      <c r="BO143" s="30"/>
      <c r="BP143" s="30"/>
      <c r="BQ143" s="30"/>
      <c r="BR143" s="30"/>
      <c r="BS143" s="30"/>
      <c r="BT143" s="30"/>
      <c r="BU143" s="30"/>
      <c r="BV143" s="30"/>
      <c r="BW143" s="30"/>
      <c r="BX143" s="30"/>
    </row>
    <row r="144" spans="1:76" s="31" customFormat="1" ht="16.8">
      <c r="A144" s="21">
        <f>IF(H144&lt;&gt;"",1+MAX($A$8:A143),"")</f>
        <v>98</v>
      </c>
      <c r="B144" s="363"/>
      <c r="C144" s="153" t="s">
        <v>192</v>
      </c>
      <c r="D144" s="150">
        <v>76.2</v>
      </c>
      <c r="E144" s="152">
        <v>0.05</v>
      </c>
      <c r="F144" s="150">
        <f t="shared" si="94"/>
        <v>80.010000000000005</v>
      </c>
      <c r="G144" s="160" t="s">
        <v>51</v>
      </c>
      <c r="H144" s="288">
        <v>1.1839755199999999</v>
      </c>
      <c r="I144" s="181">
        <f t="shared" si="86"/>
        <v>94.729881355200007</v>
      </c>
      <c r="J144" s="289">
        <v>2.3299999999999996</v>
      </c>
      <c r="K144" s="164">
        <f t="shared" ref="K144" si="97">N144/M144</f>
        <v>3.5509199999999996</v>
      </c>
      <c r="L144" s="164">
        <f t="shared" si="88"/>
        <v>21.459227467811161</v>
      </c>
      <c r="M144" s="232">
        <f t="shared" si="89"/>
        <v>50</v>
      </c>
      <c r="N144" s="166">
        <f t="shared" si="90"/>
        <v>177.54599999999999</v>
      </c>
      <c r="O144" s="331">
        <f t="shared" si="91"/>
        <v>272.2758813552</v>
      </c>
      <c r="P144" s="167">
        <f t="shared" si="92"/>
        <v>3.4030231390476189</v>
      </c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  <c r="BM144" s="30"/>
      <c r="BN144" s="30"/>
      <c r="BO144" s="30"/>
      <c r="BP144" s="30"/>
      <c r="BQ144" s="30"/>
      <c r="BR144" s="30"/>
      <c r="BS144" s="30"/>
      <c r="BT144" s="30"/>
      <c r="BU144" s="30"/>
      <c r="BV144" s="30"/>
      <c r="BW144" s="30"/>
      <c r="BX144" s="30"/>
    </row>
    <row r="145" spans="1:76" s="31" customFormat="1" ht="16.8">
      <c r="A145" s="21" t="str">
        <f>IF(H145&lt;&gt;"",1+MAX($A$8:A144),"")</f>
        <v/>
      </c>
      <c r="B145" s="136"/>
      <c r="C145" s="20" t="s">
        <v>56</v>
      </c>
      <c r="D145" s="44"/>
      <c r="E145" s="45"/>
      <c r="F145" s="45"/>
      <c r="G145" s="161"/>
      <c r="H145" s="319"/>
      <c r="I145" s="27"/>
      <c r="J145" s="139"/>
      <c r="K145" s="135"/>
      <c r="L145" s="164"/>
      <c r="M145" s="232"/>
      <c r="N145" s="166"/>
      <c r="O145" s="331"/>
      <c r="P145" s="167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  <c r="BM145" s="30"/>
      <c r="BN145" s="30"/>
      <c r="BO145" s="30"/>
      <c r="BP145" s="30"/>
      <c r="BQ145" s="30"/>
      <c r="BR145" s="30"/>
      <c r="BS145" s="30"/>
      <c r="BT145" s="30"/>
      <c r="BU145" s="30"/>
      <c r="BV145" s="30"/>
      <c r="BW145" s="30"/>
      <c r="BX145" s="30"/>
    </row>
    <row r="146" spans="1:76" s="31" customFormat="1" ht="16.8">
      <c r="A146" s="21">
        <f>IF(H146&lt;&gt;"",1+MAX($A$8:A145),"")</f>
        <v>99</v>
      </c>
      <c r="B146" s="361" t="s">
        <v>199</v>
      </c>
      <c r="C146" s="22" t="s">
        <v>173</v>
      </c>
      <c r="D146" s="23">
        <v>1333.32</v>
      </c>
      <c r="E146" s="24">
        <v>0.05</v>
      </c>
      <c r="F146" s="25">
        <f t="shared" ref="F146:F154" si="98">(1+E146)*D146</f>
        <v>1399.9860000000001</v>
      </c>
      <c r="G146" s="158" t="s">
        <v>50</v>
      </c>
      <c r="H146" s="288">
        <v>0.81316999999999995</v>
      </c>
      <c r="I146" s="181">
        <f>H146*F146</f>
        <v>1138.4266156200001</v>
      </c>
      <c r="J146" s="289">
        <v>1.17</v>
      </c>
      <c r="K146" s="164">
        <f t="shared" ref="K146:K155" si="99">N146/M146</f>
        <v>31.199687999999995</v>
      </c>
      <c r="L146" s="164">
        <f>D146/K146</f>
        <v>42.73504273504274</v>
      </c>
      <c r="M146" s="232">
        <f t="shared" ref="M146:M155" si="100">$M$108</f>
        <v>50</v>
      </c>
      <c r="N146" s="166">
        <f>D146*J146</f>
        <v>1559.9843999999998</v>
      </c>
      <c r="O146" s="331">
        <f>N146+I146</f>
        <v>2698.4110156199999</v>
      </c>
      <c r="P146" s="167">
        <f>O146/F146</f>
        <v>1.9274557142857141</v>
      </c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  <c r="BM146" s="30"/>
      <c r="BN146" s="30"/>
      <c r="BO146" s="30"/>
      <c r="BP146" s="30"/>
      <c r="BQ146" s="30"/>
      <c r="BR146" s="30"/>
      <c r="BS146" s="30"/>
      <c r="BT146" s="30"/>
      <c r="BU146" s="30"/>
      <c r="BV146" s="30"/>
      <c r="BW146" s="30"/>
      <c r="BX146" s="30"/>
    </row>
    <row r="147" spans="1:76" s="31" customFormat="1" ht="16.8">
      <c r="A147" s="21" t="str">
        <f>IF(H147&lt;&gt;"",1+MAX($A$8:A146),"")</f>
        <v/>
      </c>
      <c r="B147" s="362"/>
      <c r="C147" s="63" t="s">
        <v>57</v>
      </c>
      <c r="D147" s="23">
        <f>ROUNDUP(D146/32,)</f>
        <v>42</v>
      </c>
      <c r="E147" s="24">
        <v>0</v>
      </c>
      <c r="F147" s="25">
        <f t="shared" si="98"/>
        <v>42</v>
      </c>
      <c r="G147" s="158" t="s">
        <v>52</v>
      </c>
      <c r="H147" s="320"/>
      <c r="I147" s="27"/>
      <c r="J147" s="289"/>
      <c r="K147" s="164"/>
      <c r="L147" s="164"/>
      <c r="M147" s="232"/>
      <c r="N147" s="166"/>
      <c r="O147" s="331"/>
      <c r="P147" s="167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  <c r="BM147" s="30"/>
      <c r="BN147" s="30"/>
      <c r="BO147" s="30"/>
      <c r="BP147" s="30"/>
      <c r="BQ147" s="30"/>
      <c r="BR147" s="30"/>
      <c r="BS147" s="30"/>
      <c r="BT147" s="30"/>
      <c r="BU147" s="30"/>
      <c r="BV147" s="30"/>
      <c r="BW147" s="30"/>
      <c r="BX147" s="30"/>
    </row>
    <row r="148" spans="1:76" s="31" customFormat="1" ht="16.8">
      <c r="A148" s="21" t="str">
        <f>IF(H148&lt;&gt;"",1+MAX($A$8:A147),"")</f>
        <v/>
      </c>
      <c r="B148" s="362"/>
      <c r="C148" s="63" t="s">
        <v>58</v>
      </c>
      <c r="D148" s="23">
        <f>D147*83</f>
        <v>3486</v>
      </c>
      <c r="E148" s="24">
        <v>0</v>
      </c>
      <c r="F148" s="25">
        <f t="shared" si="98"/>
        <v>3486</v>
      </c>
      <c r="G148" s="158" t="s">
        <v>52</v>
      </c>
      <c r="H148" s="320"/>
      <c r="I148" s="27"/>
      <c r="J148" s="289"/>
      <c r="K148" s="164"/>
      <c r="L148" s="164"/>
      <c r="M148" s="232"/>
      <c r="N148" s="166"/>
      <c r="O148" s="331"/>
      <c r="P148" s="167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  <c r="BM148" s="30"/>
      <c r="BN148" s="30"/>
      <c r="BO148" s="30"/>
      <c r="BP148" s="30"/>
      <c r="BQ148" s="30"/>
      <c r="BR148" s="30"/>
      <c r="BS148" s="30"/>
      <c r="BT148" s="30"/>
      <c r="BU148" s="30"/>
      <c r="BV148" s="30"/>
      <c r="BW148" s="30"/>
      <c r="BX148" s="30"/>
    </row>
    <row r="149" spans="1:76" s="31" customFormat="1" ht="16.8">
      <c r="A149" s="21">
        <f>IF(H149&lt;&gt;"",1+MAX($A$8:A148),"")</f>
        <v>100</v>
      </c>
      <c r="B149" s="362"/>
      <c r="C149" s="22" t="s">
        <v>174</v>
      </c>
      <c r="D149" s="23">
        <v>859.68</v>
      </c>
      <c r="E149" s="24">
        <v>0.05</v>
      </c>
      <c r="F149" s="25">
        <f t="shared" si="98"/>
        <v>902.66399999999999</v>
      </c>
      <c r="G149" s="158" t="s">
        <v>50</v>
      </c>
      <c r="H149" s="288">
        <v>0.85220216000000004</v>
      </c>
      <c r="I149" s="181">
        <f>H149*F149</f>
        <v>769.25221055424004</v>
      </c>
      <c r="J149" s="289">
        <v>1.17</v>
      </c>
      <c r="K149" s="164">
        <f t="shared" si="99"/>
        <v>20.116511999999997</v>
      </c>
      <c r="L149" s="164">
        <f>D149/K149</f>
        <v>42.73504273504274</v>
      </c>
      <c r="M149" s="232">
        <f t="shared" si="100"/>
        <v>50</v>
      </c>
      <c r="N149" s="166">
        <f>D149*J149</f>
        <v>1005.8255999999999</v>
      </c>
      <c r="O149" s="331">
        <f>N149+I149</f>
        <v>1775.0778105542399</v>
      </c>
      <c r="P149" s="167">
        <f>O149/F149</f>
        <v>1.9664878742857141</v>
      </c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  <c r="BM149" s="30"/>
      <c r="BN149" s="30"/>
      <c r="BO149" s="30"/>
      <c r="BP149" s="30"/>
      <c r="BQ149" s="30"/>
      <c r="BR149" s="30"/>
      <c r="BS149" s="30"/>
      <c r="BT149" s="30"/>
      <c r="BU149" s="30"/>
      <c r="BV149" s="30"/>
      <c r="BW149" s="30"/>
      <c r="BX149" s="30"/>
    </row>
    <row r="150" spans="1:76" s="31" customFormat="1" ht="16.8">
      <c r="A150" s="21" t="str">
        <f>IF(H150&lt;&gt;"",1+MAX($A$8:A149),"")</f>
        <v/>
      </c>
      <c r="B150" s="362"/>
      <c r="C150" s="63" t="s">
        <v>57</v>
      </c>
      <c r="D150" s="23">
        <f>ROUNDUP(D149/32,)</f>
        <v>27</v>
      </c>
      <c r="E150" s="24">
        <v>0</v>
      </c>
      <c r="F150" s="25">
        <f t="shared" si="98"/>
        <v>27</v>
      </c>
      <c r="G150" s="158" t="s">
        <v>52</v>
      </c>
      <c r="H150" s="320"/>
      <c r="I150" s="27"/>
      <c r="J150" s="289"/>
      <c r="K150" s="164"/>
      <c r="L150" s="164"/>
      <c r="M150" s="232"/>
      <c r="N150" s="166"/>
      <c r="O150" s="331"/>
      <c r="P150" s="167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  <c r="BM150" s="30"/>
      <c r="BN150" s="30"/>
      <c r="BO150" s="30"/>
      <c r="BP150" s="30"/>
      <c r="BQ150" s="30"/>
      <c r="BR150" s="30"/>
      <c r="BS150" s="30"/>
      <c r="BT150" s="30"/>
      <c r="BU150" s="30"/>
      <c r="BV150" s="30"/>
      <c r="BW150" s="30"/>
      <c r="BX150" s="30"/>
    </row>
    <row r="151" spans="1:76" s="31" customFormat="1" ht="16.8">
      <c r="A151" s="21" t="str">
        <f>IF(H151&lt;&gt;"",1+MAX($A$8:A150),"")</f>
        <v/>
      </c>
      <c r="B151" s="362"/>
      <c r="C151" s="63" t="s">
        <v>58</v>
      </c>
      <c r="D151" s="23">
        <f>D150*83</f>
        <v>2241</v>
      </c>
      <c r="E151" s="24">
        <v>0</v>
      </c>
      <c r="F151" s="25">
        <f t="shared" si="98"/>
        <v>2241</v>
      </c>
      <c r="G151" s="158" t="s">
        <v>52</v>
      </c>
      <c r="H151" s="320"/>
      <c r="I151" s="27"/>
      <c r="J151" s="289"/>
      <c r="K151" s="164"/>
      <c r="L151" s="164"/>
      <c r="M151" s="232"/>
      <c r="N151" s="166"/>
      <c r="O151" s="331"/>
      <c r="P151" s="167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  <c r="BM151" s="30"/>
      <c r="BN151" s="30"/>
      <c r="BO151" s="30"/>
      <c r="BP151" s="30"/>
      <c r="BQ151" s="30"/>
      <c r="BR151" s="30"/>
      <c r="BS151" s="30"/>
      <c r="BT151" s="30"/>
      <c r="BU151" s="30"/>
      <c r="BV151" s="30"/>
      <c r="BW151" s="30"/>
      <c r="BX151" s="30"/>
    </row>
    <row r="152" spans="1:76" s="31" customFormat="1" ht="16.8">
      <c r="A152" s="21">
        <f>IF(H152&lt;&gt;"",1+MAX($A$8:A151),"")</f>
        <v>101</v>
      </c>
      <c r="B152" s="362"/>
      <c r="C152" s="22" t="s">
        <v>175</v>
      </c>
      <c r="D152" s="23">
        <v>1021.88</v>
      </c>
      <c r="E152" s="24">
        <v>0.05</v>
      </c>
      <c r="F152" s="25">
        <f t="shared" si="98"/>
        <v>1072.9739999999999</v>
      </c>
      <c r="G152" s="158" t="s">
        <v>50</v>
      </c>
      <c r="H152" s="288">
        <v>0.72860032000000008</v>
      </c>
      <c r="I152" s="181">
        <f>H152*F152</f>
        <v>781.76919975168005</v>
      </c>
      <c r="J152" s="289">
        <v>1.17</v>
      </c>
      <c r="K152" s="164">
        <f t="shared" ref="K152" si="101">N152/M152</f>
        <v>23.911992000000001</v>
      </c>
      <c r="L152" s="164">
        <f>D152/K152</f>
        <v>42.735042735042732</v>
      </c>
      <c r="M152" s="232">
        <f t="shared" si="100"/>
        <v>50</v>
      </c>
      <c r="N152" s="166">
        <f>D152*J152</f>
        <v>1195.5996</v>
      </c>
      <c r="O152" s="331">
        <f>N152+I152</f>
        <v>1977.3687997516799</v>
      </c>
      <c r="P152" s="167">
        <f>O152/F152</f>
        <v>1.8428860342857143</v>
      </c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  <c r="BM152" s="30"/>
      <c r="BN152" s="30"/>
      <c r="BO152" s="30"/>
      <c r="BP152" s="30"/>
      <c r="BQ152" s="30"/>
      <c r="BR152" s="30"/>
      <c r="BS152" s="30"/>
      <c r="BT152" s="30"/>
      <c r="BU152" s="30"/>
      <c r="BV152" s="30"/>
      <c r="BW152" s="30"/>
      <c r="BX152" s="30"/>
    </row>
    <row r="153" spans="1:76" s="31" customFormat="1" ht="16.8">
      <c r="A153" s="21" t="str">
        <f>IF(H153&lt;&gt;"",1+MAX($A$8:A152),"")</f>
        <v/>
      </c>
      <c r="B153" s="362"/>
      <c r="C153" s="63" t="s">
        <v>57</v>
      </c>
      <c r="D153" s="23">
        <f>ROUNDUP(D152/32,)</f>
        <v>32</v>
      </c>
      <c r="E153" s="24">
        <v>0</v>
      </c>
      <c r="F153" s="25">
        <f t="shared" si="98"/>
        <v>32</v>
      </c>
      <c r="G153" s="158" t="s">
        <v>52</v>
      </c>
      <c r="H153" s="320"/>
      <c r="I153" s="27"/>
      <c r="J153" s="289"/>
      <c r="K153" s="164"/>
      <c r="L153" s="164"/>
      <c r="M153" s="232"/>
      <c r="N153" s="166"/>
      <c r="O153" s="331"/>
      <c r="P153" s="167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  <c r="BM153" s="30"/>
      <c r="BN153" s="30"/>
      <c r="BO153" s="30"/>
      <c r="BP153" s="30"/>
      <c r="BQ153" s="30"/>
      <c r="BR153" s="30"/>
      <c r="BS153" s="30"/>
      <c r="BT153" s="30"/>
      <c r="BU153" s="30"/>
      <c r="BV153" s="30"/>
      <c r="BW153" s="30"/>
      <c r="BX153" s="30"/>
    </row>
    <row r="154" spans="1:76" s="31" customFormat="1" ht="16.8">
      <c r="A154" s="21" t="str">
        <f>IF(H154&lt;&gt;"",1+MAX($A$8:A153),"")</f>
        <v/>
      </c>
      <c r="B154" s="362"/>
      <c r="C154" s="63" t="s">
        <v>58</v>
      </c>
      <c r="D154" s="23">
        <f>D153*83</f>
        <v>2656</v>
      </c>
      <c r="E154" s="24">
        <v>0</v>
      </c>
      <c r="F154" s="25">
        <f t="shared" si="98"/>
        <v>2656</v>
      </c>
      <c r="G154" s="158" t="s">
        <v>52</v>
      </c>
      <c r="H154" s="320"/>
      <c r="I154" s="27"/>
      <c r="J154" s="289"/>
      <c r="K154" s="164"/>
      <c r="L154" s="164"/>
      <c r="M154" s="232"/>
      <c r="N154" s="166"/>
      <c r="O154" s="331"/>
      <c r="P154" s="167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  <c r="BM154" s="30"/>
      <c r="BN154" s="30"/>
      <c r="BO154" s="30"/>
      <c r="BP154" s="30"/>
      <c r="BQ154" s="30"/>
      <c r="BR154" s="30"/>
      <c r="BS154" s="30"/>
      <c r="BT154" s="30"/>
      <c r="BU154" s="30"/>
      <c r="BV154" s="30"/>
      <c r="BW154" s="30"/>
      <c r="BX154" s="30"/>
    </row>
    <row r="155" spans="1:76" s="31" customFormat="1" ht="16.8">
      <c r="A155" s="21">
        <f>IF(H155&lt;&gt;"",1+MAX($A$8:A154),"")</f>
        <v>102</v>
      </c>
      <c r="B155" s="362"/>
      <c r="C155" s="22" t="s">
        <v>405</v>
      </c>
      <c r="D155" s="23">
        <f>1225.42*1.23</f>
        <v>1507.2666000000002</v>
      </c>
      <c r="E155" s="24">
        <v>0.05</v>
      </c>
      <c r="F155" s="25">
        <f t="shared" ref="F155:F157" si="102">(1+E155)*D155</f>
        <v>1582.6299300000003</v>
      </c>
      <c r="G155" s="158" t="s">
        <v>50</v>
      </c>
      <c r="H155" s="288">
        <v>0.81316999999999995</v>
      </c>
      <c r="I155" s="181">
        <f>H155*F155</f>
        <v>1286.9471801781001</v>
      </c>
      <c r="J155" s="289">
        <v>1.17</v>
      </c>
      <c r="K155" s="164">
        <f t="shared" si="99"/>
        <v>35.27003844</v>
      </c>
      <c r="L155" s="164">
        <f>D155/K155</f>
        <v>42.73504273504274</v>
      </c>
      <c r="M155" s="232">
        <f t="shared" si="100"/>
        <v>50</v>
      </c>
      <c r="N155" s="166">
        <f>D155*J155</f>
        <v>1763.5019220000001</v>
      </c>
      <c r="O155" s="331">
        <f>N155+I155</f>
        <v>3050.4491021781005</v>
      </c>
      <c r="P155" s="167">
        <f>O155/F155</f>
        <v>1.9274557142857143</v>
      </c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  <c r="BM155" s="30"/>
      <c r="BN155" s="30"/>
      <c r="BO155" s="30"/>
      <c r="BP155" s="30"/>
      <c r="BQ155" s="30"/>
      <c r="BR155" s="30"/>
      <c r="BS155" s="30"/>
      <c r="BT155" s="30"/>
      <c r="BU155" s="30"/>
      <c r="BV155" s="30"/>
      <c r="BW155" s="30"/>
      <c r="BX155" s="30"/>
    </row>
    <row r="156" spans="1:76" s="31" customFormat="1" ht="16.8">
      <c r="A156" s="21" t="str">
        <f>IF(H156&lt;&gt;"",1+MAX($A$8:A155),"")</f>
        <v/>
      </c>
      <c r="B156" s="362"/>
      <c r="C156" s="63" t="s">
        <v>57</v>
      </c>
      <c r="D156" s="23">
        <f>ROUNDUP(D155/32,)</f>
        <v>48</v>
      </c>
      <c r="E156" s="24">
        <v>0</v>
      </c>
      <c r="F156" s="25">
        <f t="shared" si="102"/>
        <v>48</v>
      </c>
      <c r="G156" s="158" t="s">
        <v>52</v>
      </c>
      <c r="H156" s="320"/>
      <c r="I156" s="27"/>
      <c r="J156" s="289"/>
      <c r="K156" s="164"/>
      <c r="L156" s="164"/>
      <c r="M156" s="232"/>
      <c r="N156" s="166"/>
      <c r="O156" s="331"/>
      <c r="P156" s="167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  <c r="BM156" s="30"/>
      <c r="BN156" s="30"/>
      <c r="BO156" s="30"/>
      <c r="BP156" s="30"/>
      <c r="BQ156" s="30"/>
      <c r="BR156" s="30"/>
      <c r="BS156" s="30"/>
      <c r="BT156" s="30"/>
      <c r="BU156" s="30"/>
      <c r="BV156" s="30"/>
      <c r="BW156" s="30"/>
      <c r="BX156" s="30"/>
    </row>
    <row r="157" spans="1:76" s="31" customFormat="1" ht="16.8">
      <c r="A157" s="21" t="str">
        <f>IF(H157&lt;&gt;"",1+MAX($A$8:A156),"")</f>
        <v/>
      </c>
      <c r="B157" s="363"/>
      <c r="C157" s="63" t="s">
        <v>58</v>
      </c>
      <c r="D157" s="23">
        <f>D156*83</f>
        <v>3984</v>
      </c>
      <c r="E157" s="24">
        <v>0</v>
      </c>
      <c r="F157" s="25">
        <f t="shared" si="102"/>
        <v>3984</v>
      </c>
      <c r="G157" s="158" t="s">
        <v>52</v>
      </c>
      <c r="H157" s="320"/>
      <c r="I157" s="27"/>
      <c r="J157" s="289"/>
      <c r="K157" s="164"/>
      <c r="L157" s="164"/>
      <c r="M157" s="232"/>
      <c r="N157" s="166"/>
      <c r="O157" s="331"/>
      <c r="P157" s="167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  <c r="BM157" s="30"/>
      <c r="BN157" s="30"/>
      <c r="BO157" s="30"/>
      <c r="BP157" s="30"/>
      <c r="BQ157" s="30"/>
      <c r="BR157" s="30"/>
      <c r="BS157" s="30"/>
      <c r="BT157" s="30"/>
      <c r="BU157" s="30"/>
      <c r="BV157" s="30"/>
      <c r="BW157" s="30"/>
      <c r="BX157" s="30"/>
    </row>
    <row r="158" spans="1:76" s="31" customFormat="1" ht="15.75" customHeight="1">
      <c r="A158" s="21" t="str">
        <f>IF(H158&lt;&gt;"",1+MAX($A$8:A157),"")</f>
        <v/>
      </c>
      <c r="B158" s="361" t="s">
        <v>294</v>
      </c>
      <c r="C158" s="179" t="s">
        <v>134</v>
      </c>
      <c r="D158" s="273"/>
      <c r="E158" s="274"/>
      <c r="F158" s="274"/>
      <c r="G158" s="275"/>
      <c r="H158" s="283"/>
      <c r="I158" s="181"/>
      <c r="J158" s="283"/>
      <c r="K158" s="181"/>
      <c r="L158" s="231"/>
      <c r="M158" s="232"/>
      <c r="N158" s="233"/>
      <c r="O158" s="284"/>
      <c r="P158" s="182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  <c r="BM158" s="30"/>
      <c r="BN158" s="30"/>
      <c r="BO158" s="30"/>
      <c r="BP158" s="30"/>
      <c r="BQ158" s="30"/>
      <c r="BR158" s="30"/>
      <c r="BS158" s="30"/>
      <c r="BT158" s="30"/>
      <c r="BU158" s="30"/>
      <c r="BV158" s="30"/>
      <c r="BW158" s="30"/>
      <c r="BX158" s="30"/>
    </row>
    <row r="159" spans="1:76" s="31" customFormat="1" ht="16.8">
      <c r="A159" s="21">
        <f>IF(H159&lt;&gt;"",1+MAX($A$8:A158),"")</f>
        <v>103</v>
      </c>
      <c r="B159" s="362"/>
      <c r="C159" s="268" t="s">
        <v>295</v>
      </c>
      <c r="D159" s="269">
        <v>17.2</v>
      </c>
      <c r="E159" s="270">
        <v>0.05</v>
      </c>
      <c r="F159" s="269">
        <f t="shared" ref="F159:F162" si="103">(1+E159)*D159</f>
        <v>18.059999999999999</v>
      </c>
      <c r="G159" s="271" t="s">
        <v>51</v>
      </c>
      <c r="H159" s="288">
        <v>96.624112080000003</v>
      </c>
      <c r="I159" s="181">
        <f t="shared" ref="I159:I162" si="104">H159*F159</f>
        <v>1745.0314641647999</v>
      </c>
      <c r="J159" s="289">
        <v>51.8</v>
      </c>
      <c r="K159" s="231">
        <f t="shared" ref="K159:K162" si="105">N159/M159</f>
        <v>17.819199999999999</v>
      </c>
      <c r="L159" s="231">
        <f>D159/K159</f>
        <v>0.96525096525096532</v>
      </c>
      <c r="M159" s="232">
        <f>$M$108</f>
        <v>50</v>
      </c>
      <c r="N159" s="233">
        <f>D159*J159</f>
        <v>890.95999999999992</v>
      </c>
      <c r="O159" s="284">
        <f>N159+I159</f>
        <v>2635.9914641647997</v>
      </c>
      <c r="P159" s="182">
        <f>O159/F159</f>
        <v>145.95744541333332</v>
      </c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  <c r="BM159" s="30"/>
      <c r="BN159" s="30"/>
      <c r="BO159" s="30"/>
      <c r="BP159" s="30"/>
      <c r="BQ159" s="30"/>
      <c r="BR159" s="30"/>
      <c r="BS159" s="30"/>
      <c r="BT159" s="30"/>
      <c r="BU159" s="30"/>
      <c r="BV159" s="30"/>
      <c r="BW159" s="30"/>
      <c r="BX159" s="30"/>
    </row>
    <row r="160" spans="1:76" s="31" customFormat="1" ht="16.8">
      <c r="A160" s="21">
        <f>IF(H160&lt;&gt;"",1+MAX($A$8:A159),"")</f>
        <v>104</v>
      </c>
      <c r="B160" s="362"/>
      <c r="C160" s="268" t="s">
        <v>296</v>
      </c>
      <c r="D160" s="269">
        <v>7.13</v>
      </c>
      <c r="E160" s="270">
        <v>0.05</v>
      </c>
      <c r="F160" s="269">
        <f t="shared" si="103"/>
        <v>7.4865000000000004</v>
      </c>
      <c r="G160" s="271" t="s">
        <v>51</v>
      </c>
      <c r="H160" s="288">
        <v>86.222041439999998</v>
      </c>
      <c r="I160" s="181">
        <f t="shared" si="104"/>
        <v>645.50131324055997</v>
      </c>
      <c r="J160" s="289">
        <v>46.22</v>
      </c>
      <c r="K160" s="231">
        <f t="shared" si="105"/>
        <v>6.5909719999999989</v>
      </c>
      <c r="L160" s="231">
        <f>D160/K160</f>
        <v>1.0817827780181741</v>
      </c>
      <c r="M160" s="232">
        <f>$M$108</f>
        <v>50</v>
      </c>
      <c r="N160" s="233">
        <f>D160*J160</f>
        <v>329.54859999999996</v>
      </c>
      <c r="O160" s="284">
        <f>N160+I160</f>
        <v>975.04991324055993</v>
      </c>
      <c r="P160" s="182">
        <f>O160/F160</f>
        <v>130.2410890590476</v>
      </c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  <c r="BM160" s="30"/>
      <c r="BN160" s="30"/>
      <c r="BO160" s="30"/>
      <c r="BP160" s="30"/>
      <c r="BQ160" s="30"/>
      <c r="BR160" s="30"/>
      <c r="BS160" s="30"/>
      <c r="BT160" s="30"/>
      <c r="BU160" s="30"/>
      <c r="BV160" s="30"/>
      <c r="BW160" s="30"/>
      <c r="BX160" s="30"/>
    </row>
    <row r="161" spans="1:76" s="31" customFormat="1" ht="16.8">
      <c r="A161" s="21">
        <f>IF(H161&lt;&gt;"",1+MAX($A$8:A160),"")</f>
        <v>105</v>
      </c>
      <c r="B161" s="362"/>
      <c r="C161" s="268" t="s">
        <v>297</v>
      </c>
      <c r="D161" s="269">
        <v>20.239999999999998</v>
      </c>
      <c r="E161" s="270">
        <v>0.05</v>
      </c>
      <c r="F161" s="269">
        <f t="shared" si="103"/>
        <v>21.251999999999999</v>
      </c>
      <c r="G161" s="271" t="s">
        <v>51</v>
      </c>
      <c r="H161" s="288">
        <v>106.12844303999999</v>
      </c>
      <c r="I161" s="181">
        <f t="shared" si="104"/>
        <v>2255.4416714860799</v>
      </c>
      <c r="J161" s="289">
        <v>56.89</v>
      </c>
      <c r="K161" s="231">
        <f t="shared" si="105"/>
        <v>23.029071999999996</v>
      </c>
      <c r="L161" s="231">
        <f>D161/K161</f>
        <v>0.87888908419757439</v>
      </c>
      <c r="M161" s="232">
        <f>$M$108</f>
        <v>50</v>
      </c>
      <c r="N161" s="233">
        <f>D161*J161</f>
        <v>1151.4535999999998</v>
      </c>
      <c r="O161" s="284">
        <f>N161+I161</f>
        <v>3406.8952714860798</v>
      </c>
      <c r="P161" s="182">
        <f>O161/F161</f>
        <v>160.30939542095237</v>
      </c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  <c r="BM161" s="30"/>
      <c r="BN161" s="30"/>
      <c r="BO161" s="30"/>
      <c r="BP161" s="30"/>
      <c r="BQ161" s="30"/>
      <c r="BR161" s="30"/>
      <c r="BS161" s="30"/>
      <c r="BT161" s="30"/>
      <c r="BU161" s="30"/>
      <c r="BV161" s="30"/>
      <c r="BW161" s="30"/>
      <c r="BX161" s="30"/>
    </row>
    <row r="162" spans="1:76" s="31" customFormat="1" ht="16.8">
      <c r="A162" s="21">
        <f>IF(H162&lt;&gt;"",1+MAX($A$8:A161),"")</f>
        <v>106</v>
      </c>
      <c r="B162" s="363"/>
      <c r="C162" s="268" t="s">
        <v>298</v>
      </c>
      <c r="D162" s="269">
        <v>15.72</v>
      </c>
      <c r="E162" s="270">
        <v>0.05</v>
      </c>
      <c r="F162" s="269">
        <f t="shared" si="103"/>
        <v>16.506</v>
      </c>
      <c r="G162" s="271" t="s">
        <v>51</v>
      </c>
      <c r="H162" s="288">
        <v>106.12844303999999</v>
      </c>
      <c r="I162" s="181">
        <f t="shared" si="104"/>
        <v>1751.75608081824</v>
      </c>
      <c r="J162" s="289">
        <v>56.89</v>
      </c>
      <c r="K162" s="231">
        <f t="shared" si="105"/>
        <v>17.886216000000001</v>
      </c>
      <c r="L162" s="231">
        <f>D162/K162</f>
        <v>0.87888908419757428</v>
      </c>
      <c r="M162" s="232">
        <f>$M$108</f>
        <v>50</v>
      </c>
      <c r="N162" s="233">
        <f>D162*J162</f>
        <v>894.31080000000009</v>
      </c>
      <c r="O162" s="284">
        <f>N162+I162</f>
        <v>2646.06688081824</v>
      </c>
      <c r="P162" s="182">
        <f>O162/F162</f>
        <v>160.30939542095237</v>
      </c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  <c r="BM162" s="30"/>
      <c r="BN162" s="30"/>
      <c r="BO162" s="30"/>
      <c r="BP162" s="30"/>
      <c r="BQ162" s="30"/>
      <c r="BR162" s="30"/>
      <c r="BS162" s="30"/>
      <c r="BT162" s="30"/>
      <c r="BU162" s="30"/>
      <c r="BV162" s="30"/>
      <c r="BW162" s="30"/>
      <c r="BX162" s="30"/>
    </row>
    <row r="163" spans="1:76" s="31" customFormat="1" ht="16.8">
      <c r="A163" s="21" t="str">
        <f>IF(H163&lt;&gt;"",1+MAX($A$8:A162),"")</f>
        <v/>
      </c>
      <c r="B163" s="136"/>
      <c r="C163" s="147" t="s">
        <v>110</v>
      </c>
      <c r="D163" s="150"/>
      <c r="E163" s="152"/>
      <c r="F163" s="150"/>
      <c r="G163" s="160"/>
      <c r="H163" s="139"/>
      <c r="I163" s="135"/>
      <c r="J163" s="139"/>
      <c r="K163" s="135"/>
      <c r="L163" s="164"/>
      <c r="M163" s="232"/>
      <c r="N163" s="166"/>
      <c r="O163" s="331"/>
      <c r="P163" s="167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  <c r="BM163" s="30"/>
      <c r="BN163" s="30"/>
      <c r="BO163" s="30"/>
      <c r="BP163" s="30"/>
      <c r="BQ163" s="30"/>
      <c r="BR163" s="30"/>
      <c r="BS163" s="30"/>
      <c r="BT163" s="30"/>
      <c r="BU163" s="30"/>
      <c r="BV163" s="30"/>
      <c r="BW163" s="30"/>
      <c r="BX163" s="30"/>
    </row>
    <row r="164" spans="1:76" s="31" customFormat="1" ht="50.4">
      <c r="A164" s="265">
        <f>IF(H164&lt;&gt;"",1+MAX($A$8:A163),"")</f>
        <v>107</v>
      </c>
      <c r="B164" s="267"/>
      <c r="C164" s="268" t="s">
        <v>299</v>
      </c>
      <c r="D164" s="269">
        <v>13</v>
      </c>
      <c r="E164" s="270">
        <v>0</v>
      </c>
      <c r="F164" s="269">
        <f t="shared" ref="F164" si="106">(1+E164)*D164</f>
        <v>13</v>
      </c>
      <c r="G164" s="271" t="s">
        <v>109</v>
      </c>
      <c r="H164" s="288">
        <v>25.1432164</v>
      </c>
      <c r="I164" s="181">
        <f t="shared" ref="I164:I165" si="107">H164*F164</f>
        <v>326.86181320000003</v>
      </c>
      <c r="J164" s="289">
        <v>26.16</v>
      </c>
      <c r="K164" s="231">
        <f t="shared" ref="K164" si="108">N164/M164</f>
        <v>6.8015999999999996</v>
      </c>
      <c r="L164" s="231">
        <f>D164/K164</f>
        <v>1.9113149847094801</v>
      </c>
      <c r="M164" s="232">
        <f>$M$108</f>
        <v>50</v>
      </c>
      <c r="N164" s="233">
        <f>D164*J164</f>
        <v>340.08</v>
      </c>
      <c r="O164" s="284">
        <f>N164+I164</f>
        <v>666.94181320000007</v>
      </c>
      <c r="P164" s="182">
        <f>O164/F164</f>
        <v>51.303216400000004</v>
      </c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  <c r="BM164" s="30"/>
      <c r="BN164" s="30"/>
      <c r="BO164" s="30"/>
      <c r="BP164" s="30"/>
      <c r="BQ164" s="30"/>
      <c r="BR164" s="30"/>
      <c r="BS164" s="30"/>
      <c r="BT164" s="30"/>
      <c r="BU164" s="30"/>
      <c r="BV164" s="30"/>
      <c r="BW164" s="30"/>
      <c r="BX164" s="30"/>
    </row>
    <row r="165" spans="1:76" s="31" customFormat="1" ht="16.8">
      <c r="A165" s="21">
        <f>IF(H165&lt;&gt;"",1+MAX($A$8:A164),"")</f>
        <v>108</v>
      </c>
      <c r="B165" s="136" t="s">
        <v>199</v>
      </c>
      <c r="C165" s="153" t="s">
        <v>176</v>
      </c>
      <c r="D165" s="150">
        <v>1</v>
      </c>
      <c r="E165" s="152">
        <v>0</v>
      </c>
      <c r="F165" s="150">
        <f t="shared" ref="F165" si="109">(1+E165)*D165</f>
        <v>1</v>
      </c>
      <c r="G165" s="160" t="s">
        <v>52</v>
      </c>
      <c r="H165" s="288">
        <v>103.648599808</v>
      </c>
      <c r="I165" s="181">
        <f t="shared" si="107"/>
        <v>103.648599808</v>
      </c>
      <c r="J165" s="289">
        <v>92.600000000000009</v>
      </c>
      <c r="K165" s="164">
        <f t="shared" ref="K165" si="110">N165/M165</f>
        <v>1.8520000000000001</v>
      </c>
      <c r="L165" s="164">
        <f>D165/K165</f>
        <v>0.5399568034557235</v>
      </c>
      <c r="M165" s="232">
        <f>$M$108</f>
        <v>50</v>
      </c>
      <c r="N165" s="166">
        <f>D165*J165</f>
        <v>92.600000000000009</v>
      </c>
      <c r="O165" s="331">
        <f>N165+I165</f>
        <v>196.24859980799999</v>
      </c>
      <c r="P165" s="167">
        <f>O165/F165</f>
        <v>196.24859980799999</v>
      </c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  <c r="BM165" s="30"/>
      <c r="BN165" s="30"/>
      <c r="BO165" s="30"/>
      <c r="BP165" s="30"/>
      <c r="BQ165" s="30"/>
      <c r="BR165" s="30"/>
      <c r="BS165" s="30"/>
      <c r="BT165" s="30"/>
      <c r="BU165" s="30"/>
      <c r="BV165" s="30"/>
      <c r="BW165" s="30"/>
      <c r="BX165" s="30"/>
    </row>
    <row r="166" spans="1:76" s="31" customFormat="1" ht="16.8">
      <c r="A166" s="21" t="str">
        <f>IF(H166&lt;&gt;"",1+MAX($A$8:A165),"")</f>
        <v/>
      </c>
      <c r="B166" s="136"/>
      <c r="C166" s="147" t="s">
        <v>393</v>
      </c>
      <c r="D166" s="150"/>
      <c r="E166" s="152"/>
      <c r="F166" s="150"/>
      <c r="G166" s="160"/>
      <c r="H166" s="139"/>
      <c r="I166" s="135"/>
      <c r="J166" s="139"/>
      <c r="K166" s="135"/>
      <c r="L166" s="164"/>
      <c r="M166" s="232"/>
      <c r="N166" s="166"/>
      <c r="O166" s="331"/>
      <c r="P166" s="167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  <c r="BM166" s="30"/>
      <c r="BN166" s="30"/>
      <c r="BO166" s="30"/>
      <c r="BP166" s="30"/>
      <c r="BQ166" s="30"/>
      <c r="BR166" s="30"/>
      <c r="BS166" s="30"/>
      <c r="BT166" s="30"/>
      <c r="BU166" s="30"/>
      <c r="BV166" s="30"/>
      <c r="BW166" s="30"/>
      <c r="BX166" s="30"/>
    </row>
    <row r="167" spans="1:76" s="31" customFormat="1" ht="50.4">
      <c r="A167" s="265">
        <f>IF(H167&lt;&gt;"",1+MAX($A$8:A166),"")</f>
        <v>109</v>
      </c>
      <c r="B167" s="267" t="s">
        <v>199</v>
      </c>
      <c r="C167" s="268" t="s">
        <v>394</v>
      </c>
      <c r="D167" s="269">
        <v>1</v>
      </c>
      <c r="E167" s="270">
        <v>0</v>
      </c>
      <c r="F167" s="269">
        <f t="shared" ref="F167" si="111">(1+E167)*D167</f>
        <v>1</v>
      </c>
      <c r="G167" s="271" t="s">
        <v>109</v>
      </c>
      <c r="H167" s="288">
        <v>67.048577066666667</v>
      </c>
      <c r="I167" s="181">
        <f>H167*F167</f>
        <v>67.048577066666667</v>
      </c>
      <c r="J167" s="289">
        <v>55.22</v>
      </c>
      <c r="K167" s="231">
        <f t="shared" ref="K167" si="112">N167/M167</f>
        <v>1.1044</v>
      </c>
      <c r="L167" s="231">
        <f>D167/K167</f>
        <v>0.90546903295907277</v>
      </c>
      <c r="M167" s="232">
        <f>$M$108</f>
        <v>50</v>
      </c>
      <c r="N167" s="233">
        <f>D167*J167</f>
        <v>55.22</v>
      </c>
      <c r="O167" s="284">
        <f>N167+I167</f>
        <v>122.26857706666667</v>
      </c>
      <c r="P167" s="182">
        <f>O167/F167</f>
        <v>122.26857706666667</v>
      </c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  <c r="BM167" s="30"/>
      <c r="BN167" s="30"/>
      <c r="BO167" s="30"/>
      <c r="BP167" s="30"/>
      <c r="BQ167" s="30"/>
      <c r="BR167" s="30"/>
      <c r="BS167" s="30"/>
      <c r="BT167" s="30"/>
      <c r="BU167" s="30"/>
      <c r="BV167" s="30"/>
      <c r="BW167" s="30"/>
      <c r="BX167" s="30"/>
    </row>
    <row r="168" spans="1:76" s="31" customFormat="1" ht="15.75" customHeight="1">
      <c r="A168" s="21" t="str">
        <f>IF(H168&lt;&gt;"",1+MAX($A$8:A167),"")</f>
        <v/>
      </c>
      <c r="B168" s="136"/>
      <c r="C168" s="20" t="s">
        <v>135</v>
      </c>
      <c r="D168" s="44"/>
      <c r="E168" s="45"/>
      <c r="F168" s="45"/>
      <c r="G168" s="161"/>
      <c r="H168" s="319"/>
      <c r="I168" s="27"/>
      <c r="J168" s="139"/>
      <c r="K168" s="135"/>
      <c r="L168" s="164"/>
      <c r="M168" s="232"/>
      <c r="N168" s="166"/>
      <c r="O168" s="331"/>
      <c r="P168" s="167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  <c r="BM168" s="30"/>
      <c r="BN168" s="30"/>
      <c r="BO168" s="30"/>
      <c r="BP168" s="30"/>
      <c r="BQ168" s="30"/>
      <c r="BR168" s="30"/>
      <c r="BS168" s="30"/>
      <c r="BT168" s="30"/>
      <c r="BU168" s="30"/>
      <c r="BV168" s="30"/>
      <c r="BW168" s="30"/>
      <c r="BX168" s="30"/>
    </row>
    <row r="169" spans="1:76" s="31" customFormat="1" ht="16.8">
      <c r="A169" s="21">
        <f>IF(H169&lt;&gt;"",1+MAX($A$8:A168),"")</f>
        <v>110</v>
      </c>
      <c r="B169" s="361" t="s">
        <v>199</v>
      </c>
      <c r="C169" s="22" t="s">
        <v>177</v>
      </c>
      <c r="D169" s="23">
        <v>23.96</v>
      </c>
      <c r="E169" s="24">
        <v>0.05</v>
      </c>
      <c r="F169" s="25">
        <f>(1+E169)*D169</f>
        <v>25.158000000000001</v>
      </c>
      <c r="G169" s="158" t="s">
        <v>51</v>
      </c>
      <c r="H169" s="288">
        <v>1.463706</v>
      </c>
      <c r="I169" s="181">
        <f t="shared" ref="I169:I171" si="113">H169*F169</f>
        <v>36.823915548000002</v>
      </c>
      <c r="J169" s="289">
        <v>2.5599999999999996</v>
      </c>
      <c r="K169" s="164">
        <f t="shared" ref="K169" si="114">N169/M169</f>
        <v>1.2267519999999998</v>
      </c>
      <c r="L169" s="164">
        <f>D169/K169</f>
        <v>19.531250000000004</v>
      </c>
      <c r="M169" s="232">
        <f>$M$108</f>
        <v>50</v>
      </c>
      <c r="N169" s="166">
        <f>D169*J169</f>
        <v>61.337599999999995</v>
      </c>
      <c r="O169" s="331">
        <f>N169+I169</f>
        <v>98.161515547999997</v>
      </c>
      <c r="P169" s="167">
        <f>O169/F169</f>
        <v>3.9018012380952376</v>
      </c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  <c r="BM169" s="30"/>
      <c r="BN169" s="30"/>
      <c r="BO169" s="30"/>
      <c r="BP169" s="30"/>
      <c r="BQ169" s="30"/>
      <c r="BR169" s="30"/>
      <c r="BS169" s="30"/>
      <c r="BT169" s="30"/>
      <c r="BU169" s="30"/>
      <c r="BV169" s="30"/>
      <c r="BW169" s="30"/>
      <c r="BX169" s="30"/>
    </row>
    <row r="170" spans="1:76" s="31" customFormat="1" ht="16.8">
      <c r="A170" s="21">
        <f>IF(H170&lt;&gt;"",1+MAX($A$8:A169),"")</f>
        <v>111</v>
      </c>
      <c r="B170" s="363"/>
      <c r="C170" s="22" t="s">
        <v>178</v>
      </c>
      <c r="D170" s="23">
        <v>36.659999999999997</v>
      </c>
      <c r="E170" s="24">
        <v>0.05</v>
      </c>
      <c r="F170" s="25">
        <f>(1+E170)*D170</f>
        <v>38.492999999999995</v>
      </c>
      <c r="G170" s="158" t="s">
        <v>51</v>
      </c>
      <c r="H170" s="288">
        <v>1.37913632</v>
      </c>
      <c r="I170" s="181">
        <f t="shared" si="113"/>
        <v>53.087094365759995</v>
      </c>
      <c r="J170" s="289">
        <v>2.4499999999999997</v>
      </c>
      <c r="K170" s="164">
        <f t="shared" ref="K170" si="115">N170/M170</f>
        <v>1.7963399999999996</v>
      </c>
      <c r="L170" s="164">
        <f>D170/K170</f>
        <v>20.408163265306126</v>
      </c>
      <c r="M170" s="232">
        <f>$M$108</f>
        <v>50</v>
      </c>
      <c r="N170" s="166">
        <f>D170*J170</f>
        <v>89.816999999999979</v>
      </c>
      <c r="O170" s="331">
        <f>N170+I170</f>
        <v>142.90409436575999</v>
      </c>
      <c r="P170" s="167">
        <f>O170/F170</f>
        <v>3.7124696533333337</v>
      </c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  <c r="BM170" s="30"/>
      <c r="BN170" s="30"/>
      <c r="BO170" s="30"/>
      <c r="BP170" s="30"/>
      <c r="BQ170" s="30"/>
      <c r="BR170" s="30"/>
      <c r="BS170" s="30"/>
      <c r="BT170" s="30"/>
      <c r="BU170" s="30"/>
      <c r="BV170" s="30"/>
      <c r="BW170" s="30"/>
      <c r="BX170" s="30"/>
    </row>
    <row r="171" spans="1:76" s="31" customFormat="1" ht="16.8">
      <c r="A171" s="21">
        <f>IF(H171&lt;&gt;"",1+MAX($A$8:A170),"")</f>
        <v>112</v>
      </c>
      <c r="B171" s="314"/>
      <c r="C171" s="22" t="s">
        <v>408</v>
      </c>
      <c r="D171" s="23">
        <v>330</v>
      </c>
      <c r="E171" s="24">
        <v>0.05</v>
      </c>
      <c r="F171" s="25">
        <f>(1+E171)*D171</f>
        <v>346.5</v>
      </c>
      <c r="G171" s="158" t="s">
        <v>51</v>
      </c>
      <c r="H171" s="288">
        <v>1.2490291199999999</v>
      </c>
      <c r="I171" s="181">
        <f t="shared" si="113"/>
        <v>432.78859007999995</v>
      </c>
      <c r="J171" s="289">
        <v>1.92</v>
      </c>
      <c r="K171" s="164">
        <f t="shared" ref="K171" si="116">N171/M171</f>
        <v>12.672000000000001</v>
      </c>
      <c r="L171" s="164">
        <f>D171/K171</f>
        <v>26.041666666666664</v>
      </c>
      <c r="M171" s="232">
        <f>$M$108</f>
        <v>50</v>
      </c>
      <c r="N171" s="166">
        <f>D171*J171</f>
        <v>633.6</v>
      </c>
      <c r="O171" s="331">
        <f>N171+I171</f>
        <v>1066.3885900800001</v>
      </c>
      <c r="P171" s="167">
        <f>O171/F171</f>
        <v>3.0776005485714286</v>
      </c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  <c r="BM171" s="30"/>
      <c r="BN171" s="30"/>
      <c r="BO171" s="30"/>
      <c r="BP171" s="30"/>
      <c r="BQ171" s="30"/>
      <c r="BR171" s="30"/>
      <c r="BS171" s="30"/>
      <c r="BT171" s="30"/>
      <c r="BU171" s="30"/>
      <c r="BV171" s="30"/>
      <c r="BW171" s="30"/>
      <c r="BX171" s="30"/>
    </row>
    <row r="172" spans="1:76" s="30" customFormat="1" ht="16.8">
      <c r="A172" s="21" t="str">
        <f>IF(H172&lt;&gt;"",1+MAX($A$8:A171),"")</f>
        <v/>
      </c>
      <c r="B172" s="148"/>
      <c r="C172" s="46"/>
      <c r="D172" s="25"/>
      <c r="E172" s="24"/>
      <c r="F172" s="25"/>
      <c r="G172" s="158"/>
      <c r="H172" s="319"/>
      <c r="I172" s="27"/>
      <c r="J172" s="139"/>
      <c r="K172" s="135"/>
      <c r="L172" s="164"/>
      <c r="M172" s="165"/>
      <c r="N172" s="166"/>
      <c r="O172" s="331"/>
      <c r="P172" s="167"/>
    </row>
    <row r="173" spans="1:76" s="33" customFormat="1" ht="19.2">
      <c r="A173" s="263" t="str">
        <f>IF(H173&lt;&gt;"",1+MAX($A$8:A172),"")</f>
        <v/>
      </c>
      <c r="B173" s="359" t="s">
        <v>79</v>
      </c>
      <c r="C173" s="360"/>
      <c r="D173" s="360"/>
      <c r="E173" s="360"/>
      <c r="F173" s="360"/>
      <c r="G173" s="360"/>
      <c r="H173" s="360"/>
      <c r="I173" s="360"/>
      <c r="J173" s="360"/>
      <c r="K173" s="360"/>
      <c r="L173" s="360"/>
      <c r="M173" s="261">
        <v>45</v>
      </c>
      <c r="N173" s="262"/>
      <c r="O173" s="282">
        <f>SUM(O175:O205)</f>
        <v>17214.634666034999</v>
      </c>
      <c r="P173" s="263"/>
      <c r="Q173" s="30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  <c r="BA173" s="32"/>
      <c r="BB173" s="32"/>
      <c r="BC173" s="32"/>
      <c r="BD173" s="32"/>
      <c r="BE173" s="32"/>
      <c r="BF173" s="32"/>
      <c r="BG173" s="32"/>
      <c r="BH173" s="32"/>
      <c r="BI173" s="32"/>
      <c r="BJ173" s="32"/>
      <c r="BK173" s="32"/>
      <c r="BL173" s="32"/>
      <c r="BM173" s="32"/>
      <c r="BN173" s="32"/>
      <c r="BO173" s="32"/>
      <c r="BP173" s="32"/>
      <c r="BQ173" s="32"/>
    </row>
    <row r="174" spans="1:76" s="31" customFormat="1" ht="16.8">
      <c r="A174" s="21" t="str">
        <f>IF(H174&lt;&gt;"",1+MAX($A$8:A173),"")</f>
        <v/>
      </c>
      <c r="B174" s="38"/>
      <c r="C174" s="42"/>
      <c r="D174" s="25"/>
      <c r="E174" s="24"/>
      <c r="F174" s="25"/>
      <c r="G174" s="158"/>
      <c r="H174" s="319"/>
      <c r="I174" s="27"/>
      <c r="J174" s="139"/>
      <c r="K174" s="135"/>
      <c r="L174" s="164"/>
      <c r="M174" s="165"/>
      <c r="N174" s="166"/>
      <c r="O174" s="331"/>
      <c r="P174" s="167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  <c r="BM174" s="30"/>
      <c r="BN174" s="30"/>
      <c r="BO174" s="30"/>
      <c r="BP174" s="30"/>
      <c r="BQ174" s="30"/>
      <c r="BR174" s="30"/>
      <c r="BS174" s="30"/>
      <c r="BT174" s="30"/>
      <c r="BU174" s="30"/>
      <c r="BV174" s="30"/>
      <c r="BW174" s="30"/>
      <c r="BX174" s="30"/>
    </row>
    <row r="175" spans="1:76" s="31" customFormat="1" ht="15.75" customHeight="1">
      <c r="A175" s="21" t="str">
        <f>IF(H175&lt;&gt;"",1+MAX($A$8:A174),"")</f>
        <v/>
      </c>
      <c r="B175" s="361" t="s">
        <v>199</v>
      </c>
      <c r="C175" s="179" t="s">
        <v>84</v>
      </c>
      <c r="D175" s="272"/>
      <c r="E175" s="235"/>
      <c r="F175" s="234"/>
      <c r="G175" s="180"/>
      <c r="H175" s="283"/>
      <c r="I175" s="181"/>
      <c r="J175" s="283"/>
      <c r="K175" s="181"/>
      <c r="L175" s="231"/>
      <c r="M175" s="232"/>
      <c r="N175" s="233"/>
      <c r="O175" s="284"/>
      <c r="P175" s="182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  <c r="BM175" s="30"/>
      <c r="BN175" s="30"/>
      <c r="BO175" s="30"/>
      <c r="BP175" s="30"/>
      <c r="BQ175" s="30"/>
      <c r="BR175" s="30"/>
      <c r="BS175" s="30"/>
      <c r="BT175" s="30"/>
      <c r="BU175" s="30"/>
      <c r="BV175" s="30"/>
      <c r="BW175" s="30"/>
      <c r="BX175" s="30"/>
    </row>
    <row r="176" spans="1:76" s="31" customFormat="1" ht="16.8">
      <c r="A176" s="21">
        <f>IF(H176&lt;&gt;"",1+MAX($A$8:A175),"")</f>
        <v>113</v>
      </c>
      <c r="B176" s="362"/>
      <c r="C176" s="236" t="s">
        <v>300</v>
      </c>
      <c r="D176" s="272">
        <f>1225.42*1.23</f>
        <v>1507.2666000000002</v>
      </c>
      <c r="E176" s="235">
        <v>0.05</v>
      </c>
      <c r="F176" s="234">
        <f t="shared" ref="F176:F177" si="117">(1+E176)*D176</f>
        <v>1582.6299300000003</v>
      </c>
      <c r="G176" s="180" t="s">
        <v>50</v>
      </c>
      <c r="H176" s="288">
        <v>1.1789867110711072</v>
      </c>
      <c r="I176" s="181">
        <f t="shared" ref="I176:I177" si="118">H176*F176</f>
        <v>1865.8996560133969</v>
      </c>
      <c r="J176" s="289">
        <v>1.01</v>
      </c>
      <c r="K176" s="231">
        <f t="shared" ref="K176:K177" si="119">N176/M176</f>
        <v>33.829761466666668</v>
      </c>
      <c r="L176" s="231">
        <f>D176/K176</f>
        <v>44.554455445544555</v>
      </c>
      <c r="M176" s="232">
        <f>$M$173</f>
        <v>45</v>
      </c>
      <c r="N176" s="233">
        <f>D176*J176</f>
        <v>1522.3392660000002</v>
      </c>
      <c r="O176" s="284">
        <f>N176+I176</f>
        <v>3388.2389220133973</v>
      </c>
      <c r="P176" s="182">
        <f>O176/F176</f>
        <v>2.140891472975869</v>
      </c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  <c r="BM176" s="30"/>
      <c r="BN176" s="30"/>
      <c r="BO176" s="30"/>
      <c r="BP176" s="30"/>
      <c r="BQ176" s="30"/>
      <c r="BR176" s="30"/>
      <c r="BS176" s="30"/>
      <c r="BT176" s="30"/>
      <c r="BU176" s="30"/>
      <c r="BV176" s="30"/>
      <c r="BW176" s="30"/>
      <c r="BX176" s="30"/>
    </row>
    <row r="177" spans="1:76" s="31" customFormat="1" ht="16.8">
      <c r="A177" s="21">
        <f>IF(H177&lt;&gt;"",1+MAX($A$8:A176),"")</f>
        <v>114</v>
      </c>
      <c r="B177" s="362"/>
      <c r="C177" s="236" t="s">
        <v>301</v>
      </c>
      <c r="D177" s="272">
        <f>1225.42*1.23</f>
        <v>1507.2666000000002</v>
      </c>
      <c r="E177" s="235">
        <v>0.05</v>
      </c>
      <c r="F177" s="234">
        <f t="shared" si="117"/>
        <v>1582.6299300000003</v>
      </c>
      <c r="G177" s="180" t="s">
        <v>50</v>
      </c>
      <c r="H177" s="288">
        <v>0.13661255999999999</v>
      </c>
      <c r="I177" s="181">
        <f t="shared" si="118"/>
        <v>216.20712626992082</v>
      </c>
      <c r="J177" s="289">
        <v>0.14000000000000001</v>
      </c>
      <c r="K177" s="231">
        <f t="shared" si="119"/>
        <v>4.6892738666666673</v>
      </c>
      <c r="L177" s="231">
        <f>D177/K177</f>
        <v>321.42857142857139</v>
      </c>
      <c r="M177" s="232">
        <f>$M$173</f>
        <v>45</v>
      </c>
      <c r="N177" s="233">
        <f>D177*J177</f>
        <v>211.01732400000003</v>
      </c>
      <c r="O177" s="284">
        <f>N177+I177</f>
        <v>427.22445026992085</v>
      </c>
      <c r="P177" s="182">
        <f>O177/F177</f>
        <v>0.2699458933333333</v>
      </c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  <c r="BM177" s="30"/>
      <c r="BN177" s="30"/>
      <c r="BO177" s="30"/>
      <c r="BP177" s="30"/>
      <c r="BQ177" s="30"/>
      <c r="BR177" s="30"/>
      <c r="BS177" s="30"/>
      <c r="BT177" s="30"/>
      <c r="BU177" s="30"/>
      <c r="BV177" s="30"/>
      <c r="BW177" s="30"/>
      <c r="BX177" s="30"/>
    </row>
    <row r="178" spans="1:76" s="31" customFormat="1" ht="15.75" customHeight="1">
      <c r="A178" s="21" t="str">
        <f>IF(H178&lt;&gt;"",1+MAX($A$8:A177),"")</f>
        <v/>
      </c>
      <c r="B178" s="362"/>
      <c r="C178" s="20" t="s">
        <v>80</v>
      </c>
      <c r="D178" s="25"/>
      <c r="E178" s="24"/>
      <c r="F178" s="25"/>
      <c r="G178" s="158"/>
      <c r="H178" s="319"/>
      <c r="I178" s="27"/>
      <c r="J178" s="139"/>
      <c r="K178" s="135"/>
      <c r="L178" s="164"/>
      <c r="M178" s="232"/>
      <c r="N178" s="166"/>
      <c r="O178" s="331"/>
      <c r="P178" s="167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  <c r="BM178" s="30"/>
      <c r="BN178" s="30"/>
      <c r="BO178" s="30"/>
      <c r="BP178" s="30"/>
      <c r="BQ178" s="30"/>
      <c r="BR178" s="30"/>
      <c r="BS178" s="30"/>
      <c r="BT178" s="30"/>
      <c r="BU178" s="30"/>
      <c r="BV178" s="30"/>
      <c r="BW178" s="30"/>
      <c r="BX178" s="30"/>
    </row>
    <row r="179" spans="1:76" s="31" customFormat="1" ht="16.8">
      <c r="A179" s="21">
        <f>IF(H179&lt;&gt;"",1+MAX($A$8:A178),"")</f>
        <v>115</v>
      </c>
      <c r="B179" s="362"/>
      <c r="C179" s="42" t="s">
        <v>179</v>
      </c>
      <c r="D179" s="25">
        <v>859.68</v>
      </c>
      <c r="E179" s="24">
        <v>0.05</v>
      </c>
      <c r="F179" s="25">
        <f t="shared" ref="F179" si="120">(1+E179)*D179</f>
        <v>902.66399999999999</v>
      </c>
      <c r="G179" s="158" t="s">
        <v>50</v>
      </c>
      <c r="H179" s="288">
        <v>0.48139663999999999</v>
      </c>
      <c r="I179" s="181">
        <f t="shared" ref="I179:I189" si="121">H179*F179</f>
        <v>434.53941664895996</v>
      </c>
      <c r="J179" s="289">
        <v>0.51</v>
      </c>
      <c r="K179" s="164">
        <f t="shared" ref="K179:K188" si="122">N179/M179</f>
        <v>9.7430400000000006</v>
      </c>
      <c r="L179" s="164">
        <f t="shared" ref="L179:L189" si="123">D179/K179</f>
        <v>88.235294117647044</v>
      </c>
      <c r="M179" s="232">
        <f t="shared" ref="M179:M189" si="124">$M$173</f>
        <v>45</v>
      </c>
      <c r="N179" s="166">
        <f t="shared" ref="N179:N189" si="125">D179*J179</f>
        <v>438.43680000000001</v>
      </c>
      <c r="O179" s="331">
        <f t="shared" ref="O179:O189" si="126">N179+I179</f>
        <v>872.97621664895996</v>
      </c>
      <c r="P179" s="167">
        <f t="shared" ref="P179:P189" si="127">O179/F179</f>
        <v>0.9671109257142857</v>
      </c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  <c r="BM179" s="30"/>
      <c r="BN179" s="30"/>
      <c r="BO179" s="30"/>
      <c r="BP179" s="30"/>
      <c r="BQ179" s="30"/>
      <c r="BR179" s="30"/>
      <c r="BS179" s="30"/>
      <c r="BT179" s="30"/>
      <c r="BU179" s="30"/>
      <c r="BV179" s="30"/>
      <c r="BW179" s="30"/>
      <c r="BX179" s="30"/>
    </row>
    <row r="180" spans="1:76" s="31" customFormat="1" ht="16.8">
      <c r="A180" s="21">
        <f>IF(H180&lt;&gt;"",1+MAX($A$8:A179),"")</f>
        <v>116</v>
      </c>
      <c r="B180" s="362"/>
      <c r="C180" s="42" t="s">
        <v>180</v>
      </c>
      <c r="D180" s="23">
        <v>1333.32</v>
      </c>
      <c r="E180" s="24">
        <v>0.05</v>
      </c>
      <c r="F180" s="25">
        <f t="shared" ref="F180" si="128">(1+E180)*D180</f>
        <v>1399.9860000000001</v>
      </c>
      <c r="G180" s="158" t="s">
        <v>50</v>
      </c>
      <c r="H180" s="288">
        <v>0.61800919999999993</v>
      </c>
      <c r="I180" s="181">
        <f t="shared" si="121"/>
        <v>865.20422787119992</v>
      </c>
      <c r="J180" s="289">
        <v>0.51</v>
      </c>
      <c r="K180" s="164">
        <f t="shared" si="122"/>
        <v>15.11096</v>
      </c>
      <c r="L180" s="164">
        <f t="shared" si="123"/>
        <v>88.235294117647058</v>
      </c>
      <c r="M180" s="232">
        <f t="shared" si="124"/>
        <v>45</v>
      </c>
      <c r="N180" s="166">
        <f t="shared" si="125"/>
        <v>679.9932</v>
      </c>
      <c r="O180" s="331">
        <f t="shared" si="126"/>
        <v>1545.1974278712</v>
      </c>
      <c r="P180" s="167">
        <f t="shared" si="127"/>
        <v>1.1037234857142857</v>
      </c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  <c r="BM180" s="30"/>
      <c r="BN180" s="30"/>
      <c r="BO180" s="30"/>
      <c r="BP180" s="30"/>
      <c r="BQ180" s="30"/>
      <c r="BR180" s="30"/>
      <c r="BS180" s="30"/>
      <c r="BT180" s="30"/>
      <c r="BU180" s="30"/>
      <c r="BV180" s="30"/>
      <c r="BW180" s="30"/>
      <c r="BX180" s="30"/>
    </row>
    <row r="181" spans="1:76" s="30" customFormat="1" ht="16.8">
      <c r="A181" s="21">
        <f>IF(H181&lt;&gt;"",1+MAX($A$8:A180),"")</f>
        <v>117</v>
      </c>
      <c r="B181" s="362"/>
      <c r="C181" s="124" t="s">
        <v>181</v>
      </c>
      <c r="D181" s="23">
        <v>1688</v>
      </c>
      <c r="E181" s="66">
        <v>0.05</v>
      </c>
      <c r="F181" s="67">
        <f t="shared" ref="F181:F188" si="129">(1+E181)*D181</f>
        <v>1772.4</v>
      </c>
      <c r="G181" s="161" t="s">
        <v>50</v>
      </c>
      <c r="H181" s="288">
        <v>0.17564472</v>
      </c>
      <c r="I181" s="181">
        <f t="shared" si="121"/>
        <v>311.31270172800004</v>
      </c>
      <c r="J181" s="289">
        <v>9.9999999999999992E-2</v>
      </c>
      <c r="K181" s="164">
        <f t="shared" si="122"/>
        <v>3.7511111111111108</v>
      </c>
      <c r="L181" s="164">
        <f t="shared" si="123"/>
        <v>450.00000000000006</v>
      </c>
      <c r="M181" s="232">
        <f t="shared" si="124"/>
        <v>45</v>
      </c>
      <c r="N181" s="166">
        <f t="shared" si="125"/>
        <v>168.79999999999998</v>
      </c>
      <c r="O181" s="331">
        <f t="shared" si="126"/>
        <v>480.11270172800005</v>
      </c>
      <c r="P181" s="167">
        <f t="shared" si="127"/>
        <v>0.27088281523809526</v>
      </c>
    </row>
    <row r="182" spans="1:76" s="30" customFormat="1" ht="16.8">
      <c r="A182" s="21">
        <f>IF(H182&lt;&gt;"",1+MAX($A$8:A181),"")</f>
        <v>118</v>
      </c>
      <c r="B182" s="362"/>
      <c r="C182" s="124" t="s">
        <v>195</v>
      </c>
      <c r="D182" s="23">
        <v>1021.88</v>
      </c>
      <c r="E182" s="66">
        <v>0.05</v>
      </c>
      <c r="F182" s="67">
        <f t="shared" ref="F182" si="130">(1+E182)*D182</f>
        <v>1072.9739999999999</v>
      </c>
      <c r="G182" s="161" t="s">
        <v>50</v>
      </c>
      <c r="H182" s="288">
        <v>0.17564472</v>
      </c>
      <c r="I182" s="181">
        <f t="shared" si="121"/>
        <v>188.46221779728</v>
      </c>
      <c r="J182" s="289">
        <v>9.9999999999999992E-2</v>
      </c>
      <c r="K182" s="164">
        <f t="shared" ref="K182" si="131">N182/M182</f>
        <v>2.2708444444444442</v>
      </c>
      <c r="L182" s="164">
        <f t="shared" si="123"/>
        <v>450.00000000000006</v>
      </c>
      <c r="M182" s="232">
        <f t="shared" si="124"/>
        <v>45</v>
      </c>
      <c r="N182" s="166">
        <f t="shared" si="125"/>
        <v>102.18799999999999</v>
      </c>
      <c r="O182" s="331">
        <f t="shared" si="126"/>
        <v>290.65021779727999</v>
      </c>
      <c r="P182" s="167">
        <f t="shared" si="127"/>
        <v>0.27088281523809526</v>
      </c>
    </row>
    <row r="183" spans="1:76" s="30" customFormat="1" ht="16.8">
      <c r="A183" s="21">
        <f>IF(H183&lt;&gt;"",1+MAX($A$8:A182),"")</f>
        <v>119</v>
      </c>
      <c r="B183" s="362"/>
      <c r="C183" s="124" t="s">
        <v>182</v>
      </c>
      <c r="D183" s="23">
        <v>1333.32</v>
      </c>
      <c r="E183" s="66">
        <v>0.05</v>
      </c>
      <c r="F183" s="67">
        <f t="shared" si="129"/>
        <v>1399.9860000000001</v>
      </c>
      <c r="G183" s="161" t="s">
        <v>50</v>
      </c>
      <c r="H183" s="288">
        <v>0.57897704000000005</v>
      </c>
      <c r="I183" s="181">
        <f t="shared" si="121"/>
        <v>810.55975032144011</v>
      </c>
      <c r="J183" s="289">
        <v>0.55000000000000004</v>
      </c>
      <c r="K183" s="164">
        <f t="shared" si="122"/>
        <v>16.296133333333334</v>
      </c>
      <c r="L183" s="164">
        <f t="shared" si="123"/>
        <v>81.818181818181813</v>
      </c>
      <c r="M183" s="232">
        <f t="shared" si="124"/>
        <v>45</v>
      </c>
      <c r="N183" s="166">
        <f t="shared" si="125"/>
        <v>733.32600000000002</v>
      </c>
      <c r="O183" s="331">
        <f t="shared" si="126"/>
        <v>1543.8857503214401</v>
      </c>
      <c r="P183" s="167">
        <f t="shared" si="127"/>
        <v>1.1027865638095238</v>
      </c>
    </row>
    <row r="184" spans="1:76" s="30" customFormat="1" ht="16.8">
      <c r="A184" s="21">
        <f>IF(H184&lt;&gt;"",1+MAX($A$8:A183),"")</f>
        <v>120</v>
      </c>
      <c r="B184" s="362"/>
      <c r="C184" s="42" t="s">
        <v>194</v>
      </c>
      <c r="D184" s="23">
        <v>1021.88</v>
      </c>
      <c r="E184" s="66">
        <v>0.05</v>
      </c>
      <c r="F184" s="67">
        <f t="shared" ref="F184" si="132">(1+E184)*D184</f>
        <v>1072.9739999999999</v>
      </c>
      <c r="G184" s="161" t="s">
        <v>50</v>
      </c>
      <c r="H184" s="288">
        <v>1.7239203999999999</v>
      </c>
      <c r="I184" s="181">
        <f t="shared" si="121"/>
        <v>1849.7217672695997</v>
      </c>
      <c r="J184" s="289">
        <v>1.01</v>
      </c>
      <c r="K184" s="164">
        <f t="shared" ref="K184" si="133">N184/M184</f>
        <v>22.935528888888889</v>
      </c>
      <c r="L184" s="164">
        <f t="shared" si="123"/>
        <v>44.554455445544555</v>
      </c>
      <c r="M184" s="232">
        <f t="shared" si="124"/>
        <v>45</v>
      </c>
      <c r="N184" s="166">
        <f t="shared" si="125"/>
        <v>1032.0988</v>
      </c>
      <c r="O184" s="331">
        <f t="shared" si="126"/>
        <v>2881.8205672695995</v>
      </c>
      <c r="P184" s="167">
        <f t="shared" si="127"/>
        <v>2.6858251619047615</v>
      </c>
    </row>
    <row r="185" spans="1:76" s="30" customFormat="1" ht="16.8">
      <c r="A185" s="21">
        <f>IF(H185&lt;&gt;"",1+MAX($A$8:A184),"")</f>
        <v>121</v>
      </c>
      <c r="B185" s="362"/>
      <c r="C185" s="124" t="s">
        <v>183</v>
      </c>
      <c r="D185" s="23">
        <v>462.64</v>
      </c>
      <c r="E185" s="66">
        <v>0.05</v>
      </c>
      <c r="F185" s="67">
        <f t="shared" si="129"/>
        <v>485.77199999999999</v>
      </c>
      <c r="G185" s="161" t="s">
        <v>50</v>
      </c>
      <c r="H185" s="288">
        <v>0.48139663999999999</v>
      </c>
      <c r="I185" s="181">
        <f t="shared" si="121"/>
        <v>233.84900860607999</v>
      </c>
      <c r="J185" s="289">
        <v>0.55000000000000004</v>
      </c>
      <c r="K185" s="164">
        <f t="shared" si="122"/>
        <v>5.6544888888888893</v>
      </c>
      <c r="L185" s="164">
        <f t="shared" si="123"/>
        <v>81.818181818181813</v>
      </c>
      <c r="M185" s="232">
        <f t="shared" si="124"/>
        <v>45</v>
      </c>
      <c r="N185" s="166">
        <f t="shared" si="125"/>
        <v>254.45200000000003</v>
      </c>
      <c r="O185" s="331">
        <f t="shared" si="126"/>
        <v>488.30100860608002</v>
      </c>
      <c r="P185" s="167">
        <f t="shared" si="127"/>
        <v>1.0052061638095238</v>
      </c>
    </row>
    <row r="186" spans="1:76" s="31" customFormat="1" ht="16.8">
      <c r="A186" s="21">
        <f>IF(H186&lt;&gt;"",1+MAX($A$8:A185),"")</f>
        <v>122</v>
      </c>
      <c r="B186" s="362"/>
      <c r="C186" s="236" t="s">
        <v>302</v>
      </c>
      <c r="D186" s="272">
        <f>252.4*2</f>
        <v>504.8</v>
      </c>
      <c r="E186" s="235">
        <v>0.05</v>
      </c>
      <c r="F186" s="234">
        <f t="shared" si="129"/>
        <v>530.04000000000008</v>
      </c>
      <c r="G186" s="180" t="s">
        <v>50</v>
      </c>
      <c r="H186" s="288">
        <v>0.21467688000000001</v>
      </c>
      <c r="I186" s="181">
        <f t="shared" si="121"/>
        <v>113.78733347520003</v>
      </c>
      <c r="J186" s="289">
        <v>0.14000000000000001</v>
      </c>
      <c r="K186" s="231">
        <f t="shared" si="122"/>
        <v>1.570488888888889</v>
      </c>
      <c r="L186" s="231">
        <f t="shared" si="123"/>
        <v>321.42857142857139</v>
      </c>
      <c r="M186" s="232">
        <f t="shared" si="124"/>
        <v>45</v>
      </c>
      <c r="N186" s="233">
        <f t="shared" si="125"/>
        <v>70.672000000000011</v>
      </c>
      <c r="O186" s="284">
        <f t="shared" si="126"/>
        <v>184.45933347520003</v>
      </c>
      <c r="P186" s="182">
        <f t="shared" si="127"/>
        <v>0.34801021333333332</v>
      </c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  <c r="BM186" s="30"/>
      <c r="BN186" s="30"/>
      <c r="BO186" s="30"/>
      <c r="BP186" s="30"/>
      <c r="BQ186" s="30"/>
      <c r="BR186" s="30"/>
      <c r="BS186" s="30"/>
      <c r="BT186" s="30"/>
      <c r="BU186" s="30"/>
      <c r="BV186" s="30"/>
      <c r="BW186" s="30"/>
      <c r="BX186" s="30"/>
    </row>
    <row r="187" spans="1:76" s="31" customFormat="1" ht="15.75" customHeight="1">
      <c r="A187" s="21">
        <f>IF(H187&lt;&gt;"",1+MAX($A$8:A186),"")</f>
        <v>123</v>
      </c>
      <c r="B187" s="362"/>
      <c r="C187" s="236" t="s">
        <v>316</v>
      </c>
      <c r="D187" s="234">
        <v>1688.04</v>
      </c>
      <c r="E187" s="235">
        <v>0.05</v>
      </c>
      <c r="F187" s="234">
        <f t="shared" si="129"/>
        <v>1772.442</v>
      </c>
      <c r="G187" s="180" t="s">
        <v>50</v>
      </c>
      <c r="H187" s="288">
        <v>0.11709648</v>
      </c>
      <c r="I187" s="181">
        <f t="shared" si="121"/>
        <v>207.54671920416001</v>
      </c>
      <c r="J187" s="289">
        <v>9.9999999999999992E-2</v>
      </c>
      <c r="K187" s="231">
        <f t="shared" si="122"/>
        <v>3.7511999999999994</v>
      </c>
      <c r="L187" s="231">
        <f t="shared" si="123"/>
        <v>450.00000000000006</v>
      </c>
      <c r="M187" s="232">
        <f t="shared" si="124"/>
        <v>45</v>
      </c>
      <c r="N187" s="233">
        <f t="shared" si="125"/>
        <v>168.80399999999997</v>
      </c>
      <c r="O187" s="284">
        <f t="shared" si="126"/>
        <v>376.35071920415999</v>
      </c>
      <c r="P187" s="182">
        <f t="shared" si="127"/>
        <v>0.21233457523809524</v>
      </c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  <c r="BH187" s="30"/>
      <c r="BI187" s="30"/>
      <c r="BJ187" s="30"/>
      <c r="BK187" s="30"/>
      <c r="BL187" s="30"/>
      <c r="BM187" s="30"/>
      <c r="BN187" s="30"/>
      <c r="BO187" s="30"/>
      <c r="BP187" s="30"/>
      <c r="BQ187" s="30"/>
      <c r="BR187" s="30"/>
      <c r="BS187" s="30"/>
      <c r="BT187" s="30"/>
      <c r="BU187" s="30"/>
      <c r="BV187" s="30"/>
      <c r="BW187" s="30"/>
      <c r="BX187" s="30"/>
    </row>
    <row r="188" spans="1:76" s="31" customFormat="1" ht="16.8">
      <c r="A188" s="21">
        <f>IF(H188&lt;&gt;"",1+MAX($A$8:A187),"")</f>
        <v>124</v>
      </c>
      <c r="B188" s="362"/>
      <c r="C188" s="236" t="s">
        <v>303</v>
      </c>
      <c r="D188" s="234">
        <v>226</v>
      </c>
      <c r="E188" s="235">
        <v>0.05</v>
      </c>
      <c r="F188" s="234">
        <f t="shared" si="129"/>
        <v>237.3</v>
      </c>
      <c r="G188" s="180" t="s">
        <v>50</v>
      </c>
      <c r="H188" s="288">
        <v>1.0603736799999999</v>
      </c>
      <c r="I188" s="181">
        <f t="shared" si="121"/>
        <v>251.62667426399997</v>
      </c>
      <c r="J188" s="289">
        <v>0.69000000000000006</v>
      </c>
      <c r="K188" s="231">
        <f t="shared" si="122"/>
        <v>3.465333333333334</v>
      </c>
      <c r="L188" s="231">
        <f t="shared" si="123"/>
        <v>65.217391304347814</v>
      </c>
      <c r="M188" s="232">
        <f t="shared" si="124"/>
        <v>45</v>
      </c>
      <c r="N188" s="233">
        <f t="shared" si="125"/>
        <v>155.94000000000003</v>
      </c>
      <c r="O188" s="284">
        <f t="shared" si="126"/>
        <v>407.56667426399997</v>
      </c>
      <c r="P188" s="182">
        <f t="shared" si="127"/>
        <v>1.7175165371428569</v>
      </c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  <c r="BH188" s="30"/>
      <c r="BI188" s="30"/>
      <c r="BJ188" s="30"/>
      <c r="BK188" s="30"/>
      <c r="BL188" s="30"/>
      <c r="BM188" s="30"/>
      <c r="BN188" s="30"/>
      <c r="BO188" s="30"/>
      <c r="BP188" s="30"/>
      <c r="BQ188" s="30"/>
      <c r="BR188" s="30"/>
      <c r="BS188" s="30"/>
      <c r="BT188" s="30"/>
      <c r="BU188" s="30"/>
      <c r="BV188" s="30"/>
      <c r="BW188" s="30"/>
      <c r="BX188" s="30"/>
    </row>
    <row r="189" spans="1:76" s="31" customFormat="1" ht="16.8">
      <c r="A189" s="21">
        <f>IF(H189&lt;&gt;"",1+MAX($A$8:A188),"")</f>
        <v>125</v>
      </c>
      <c r="B189" s="362"/>
      <c r="C189" s="236" t="s">
        <v>382</v>
      </c>
      <c r="D189" s="234">
        <v>55</v>
      </c>
      <c r="E189" s="235">
        <v>0.05</v>
      </c>
      <c r="F189" s="234">
        <f t="shared" ref="F189" si="134">(1+E189)*D189</f>
        <v>57.75</v>
      </c>
      <c r="G189" s="180" t="s">
        <v>51</v>
      </c>
      <c r="H189" s="288">
        <v>1.13193264</v>
      </c>
      <c r="I189" s="181">
        <f t="shared" si="121"/>
        <v>65.369109960000003</v>
      </c>
      <c r="J189" s="289">
        <v>1.1399999999999999</v>
      </c>
      <c r="K189" s="231">
        <f t="shared" ref="K189" si="135">N189/M189</f>
        <v>1.3933333333333333</v>
      </c>
      <c r="L189" s="231">
        <f t="shared" si="123"/>
        <v>39.473684210526315</v>
      </c>
      <c r="M189" s="232">
        <f t="shared" si="124"/>
        <v>45</v>
      </c>
      <c r="N189" s="233">
        <f t="shared" si="125"/>
        <v>62.699999999999996</v>
      </c>
      <c r="O189" s="284">
        <f t="shared" si="126"/>
        <v>128.06910995999999</v>
      </c>
      <c r="P189" s="182">
        <f t="shared" si="127"/>
        <v>2.2176469257142855</v>
      </c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  <c r="BH189" s="30"/>
      <c r="BI189" s="30"/>
      <c r="BJ189" s="30"/>
      <c r="BK189" s="30"/>
      <c r="BL189" s="30"/>
      <c r="BM189" s="30"/>
      <c r="BN189" s="30"/>
      <c r="BO189" s="30"/>
      <c r="BP189" s="30"/>
      <c r="BQ189" s="30"/>
      <c r="BR189" s="30"/>
      <c r="BS189" s="30"/>
      <c r="BT189" s="30"/>
      <c r="BU189" s="30"/>
      <c r="BV189" s="30"/>
      <c r="BW189" s="30"/>
      <c r="BX189" s="30"/>
    </row>
    <row r="190" spans="1:76" s="31" customFormat="1" ht="16.8">
      <c r="A190" s="21" t="str">
        <f>IF(H190&lt;&gt;"",1+MAX($A$8:A189),"")</f>
        <v/>
      </c>
      <c r="B190" s="362"/>
      <c r="C190" s="179" t="s">
        <v>83</v>
      </c>
      <c r="D190" s="234"/>
      <c r="E190" s="235"/>
      <c r="F190" s="234"/>
      <c r="G190" s="180"/>
      <c r="H190" s="283"/>
      <c r="I190" s="181"/>
      <c r="J190" s="283"/>
      <c r="K190" s="181"/>
      <c r="L190" s="231"/>
      <c r="M190" s="232"/>
      <c r="N190" s="233"/>
      <c r="O190" s="284"/>
      <c r="P190" s="182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  <c r="BH190" s="30"/>
      <c r="BI190" s="30"/>
      <c r="BJ190" s="30"/>
      <c r="BK190" s="30"/>
      <c r="BL190" s="30"/>
      <c r="BM190" s="30"/>
      <c r="BN190" s="30"/>
      <c r="BO190" s="30"/>
      <c r="BP190" s="30"/>
      <c r="BQ190" s="30"/>
      <c r="BR190" s="30"/>
      <c r="BS190" s="30"/>
      <c r="BT190" s="30"/>
      <c r="BU190" s="30"/>
      <c r="BV190" s="30"/>
      <c r="BW190" s="30"/>
      <c r="BX190" s="30"/>
    </row>
    <row r="191" spans="1:76" s="31" customFormat="1" ht="16.8">
      <c r="A191" s="21">
        <f>IF(H191&lt;&gt;"",1+MAX($A$8:A190),"")</f>
        <v>126</v>
      </c>
      <c r="B191" s="362"/>
      <c r="C191" s="268" t="s">
        <v>304</v>
      </c>
      <c r="D191" s="308">
        <v>210</v>
      </c>
      <c r="E191" s="235">
        <v>0.05</v>
      </c>
      <c r="F191" s="269">
        <f t="shared" ref="F191:F196" si="136">(1+E191)*D191</f>
        <v>220.5</v>
      </c>
      <c r="G191" s="271" t="s">
        <v>51</v>
      </c>
      <c r="H191" s="288">
        <v>2.4460153600000001</v>
      </c>
      <c r="I191" s="181">
        <f t="shared" ref="I191:I196" si="137">H191*F191</f>
        <v>539.34638688000007</v>
      </c>
      <c r="J191" s="289">
        <v>1.74</v>
      </c>
      <c r="K191" s="231">
        <f t="shared" ref="K191:K196" si="138">N191/M191</f>
        <v>8.1199999999999992</v>
      </c>
      <c r="L191" s="231">
        <f t="shared" ref="L191:L196" si="139">D191/K191</f>
        <v>25.862068965517246</v>
      </c>
      <c r="M191" s="232">
        <f t="shared" ref="M191:M196" si="140">$M$173</f>
        <v>45</v>
      </c>
      <c r="N191" s="233">
        <f t="shared" ref="N191:N196" si="141">D191*J191</f>
        <v>365.4</v>
      </c>
      <c r="O191" s="284">
        <f t="shared" ref="O191:O196" si="142">N191+I191</f>
        <v>904.74638688000005</v>
      </c>
      <c r="P191" s="182">
        <f t="shared" ref="P191:P196" si="143">O191/F191</f>
        <v>4.1031582171428571</v>
      </c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  <c r="BH191" s="30"/>
      <c r="BI191" s="30"/>
      <c r="BJ191" s="30"/>
      <c r="BK191" s="30"/>
      <c r="BL191" s="30"/>
      <c r="BM191" s="30"/>
      <c r="BN191" s="30"/>
      <c r="BO191" s="30"/>
      <c r="BP191" s="30"/>
      <c r="BQ191" s="30"/>
      <c r="BR191" s="30"/>
      <c r="BS191" s="30"/>
      <c r="BT191" s="30"/>
      <c r="BU191" s="30"/>
      <c r="BV191" s="30"/>
      <c r="BW191" s="30"/>
      <c r="BX191" s="30"/>
    </row>
    <row r="192" spans="1:76" s="31" customFormat="1" ht="16.8">
      <c r="A192" s="21">
        <f>IF(H192&lt;&gt;"",1+MAX($A$8:A191),"")</f>
        <v>127</v>
      </c>
      <c r="B192" s="362"/>
      <c r="C192" s="268" t="s">
        <v>305</v>
      </c>
      <c r="D192" s="269">
        <v>4.4000000000000004</v>
      </c>
      <c r="E192" s="235">
        <v>0.05</v>
      </c>
      <c r="F192" s="269">
        <f t="shared" si="136"/>
        <v>4.620000000000001</v>
      </c>
      <c r="G192" s="271" t="s">
        <v>51</v>
      </c>
      <c r="H192" s="288">
        <v>2.02967232</v>
      </c>
      <c r="I192" s="181">
        <f t="shared" si="137"/>
        <v>9.3770861184000012</v>
      </c>
      <c r="J192" s="289">
        <v>1.6</v>
      </c>
      <c r="K192" s="231">
        <f t="shared" si="138"/>
        <v>0.15644444444444447</v>
      </c>
      <c r="L192" s="231">
        <f t="shared" si="139"/>
        <v>28.124999999999996</v>
      </c>
      <c r="M192" s="232">
        <f t="shared" si="140"/>
        <v>45</v>
      </c>
      <c r="N192" s="233">
        <f t="shared" si="141"/>
        <v>7.0400000000000009</v>
      </c>
      <c r="O192" s="284">
        <f t="shared" si="142"/>
        <v>16.4170861184</v>
      </c>
      <c r="P192" s="182">
        <f t="shared" si="143"/>
        <v>3.5534818438095233</v>
      </c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  <c r="BH192" s="30"/>
      <c r="BI192" s="30"/>
      <c r="BJ192" s="30"/>
      <c r="BK192" s="30"/>
      <c r="BL192" s="30"/>
      <c r="BM192" s="30"/>
      <c r="BN192" s="30"/>
      <c r="BO192" s="30"/>
      <c r="BP192" s="30"/>
      <c r="BQ192" s="30"/>
      <c r="BR192" s="30"/>
      <c r="BS192" s="30"/>
      <c r="BT192" s="30"/>
      <c r="BU192" s="30"/>
      <c r="BV192" s="30"/>
      <c r="BW192" s="30"/>
      <c r="BX192" s="30"/>
    </row>
    <row r="193" spans="1:76" s="31" customFormat="1" ht="16.8">
      <c r="A193" s="21">
        <f>IF(H193&lt;&gt;"",1+MAX($A$8:A192),"")</f>
        <v>128</v>
      </c>
      <c r="B193" s="362"/>
      <c r="C193" s="268" t="s">
        <v>306</v>
      </c>
      <c r="D193" s="269">
        <v>38</v>
      </c>
      <c r="E193" s="235">
        <v>0.05</v>
      </c>
      <c r="F193" s="269">
        <f t="shared" ref="F193" si="144">(1+E193)*D193</f>
        <v>39.9</v>
      </c>
      <c r="G193" s="271" t="s">
        <v>51</v>
      </c>
      <c r="H193" s="288">
        <v>1.65236144</v>
      </c>
      <c r="I193" s="181">
        <f t="shared" si="137"/>
        <v>65.929221455999993</v>
      </c>
      <c r="J193" s="289">
        <v>1.51</v>
      </c>
      <c r="K193" s="231">
        <f t="shared" ref="K193" si="145">N193/M193</f>
        <v>1.2751111111111111</v>
      </c>
      <c r="L193" s="231">
        <f t="shared" si="139"/>
        <v>29.80132450331126</v>
      </c>
      <c r="M193" s="232">
        <f t="shared" si="140"/>
        <v>45</v>
      </c>
      <c r="N193" s="233">
        <f t="shared" si="141"/>
        <v>57.38</v>
      </c>
      <c r="O193" s="284">
        <f t="shared" si="142"/>
        <v>123.30922145599999</v>
      </c>
      <c r="P193" s="182">
        <f t="shared" si="143"/>
        <v>3.0904566780952378</v>
      </c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  <c r="BH193" s="30"/>
      <c r="BI193" s="30"/>
      <c r="BJ193" s="30"/>
      <c r="BK193" s="30"/>
      <c r="BL193" s="30"/>
      <c r="BM193" s="30"/>
      <c r="BN193" s="30"/>
      <c r="BO193" s="30"/>
      <c r="BP193" s="30"/>
      <c r="BQ193" s="30"/>
      <c r="BR193" s="30"/>
      <c r="BS193" s="30"/>
      <c r="BT193" s="30"/>
      <c r="BU193" s="30"/>
      <c r="BV193" s="30"/>
      <c r="BW193" s="30"/>
      <c r="BX193" s="30"/>
    </row>
    <row r="194" spans="1:76" s="31" customFormat="1" ht="16.8">
      <c r="A194" s="21">
        <f>IF(H194&lt;&gt;"",1+MAX($A$8:A193),"")</f>
        <v>129</v>
      </c>
      <c r="B194" s="362"/>
      <c r="C194" s="268" t="s">
        <v>395</v>
      </c>
      <c r="D194" s="269">
        <v>80</v>
      </c>
      <c r="E194" s="235">
        <v>0.05</v>
      </c>
      <c r="F194" s="269">
        <f t="shared" si="136"/>
        <v>84</v>
      </c>
      <c r="G194" s="271" t="s">
        <v>51</v>
      </c>
      <c r="H194" s="288">
        <v>2.6802083200000002</v>
      </c>
      <c r="I194" s="181">
        <f t="shared" si="137"/>
        <v>225.13749888000001</v>
      </c>
      <c r="J194" s="289">
        <v>1.92</v>
      </c>
      <c r="K194" s="231">
        <f t="shared" si="138"/>
        <v>3.4133333333333331</v>
      </c>
      <c r="L194" s="231">
        <f t="shared" si="139"/>
        <v>23.4375</v>
      </c>
      <c r="M194" s="232">
        <f t="shared" si="140"/>
        <v>45</v>
      </c>
      <c r="N194" s="233">
        <f t="shared" si="141"/>
        <v>153.6</v>
      </c>
      <c r="O194" s="284">
        <f t="shared" si="142"/>
        <v>378.73749887999998</v>
      </c>
      <c r="P194" s="182">
        <f t="shared" si="143"/>
        <v>4.5087797485714285</v>
      </c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  <c r="BH194" s="30"/>
      <c r="BI194" s="30"/>
      <c r="BJ194" s="30"/>
      <c r="BK194" s="30"/>
      <c r="BL194" s="30"/>
      <c r="BM194" s="30"/>
      <c r="BN194" s="30"/>
      <c r="BO194" s="30"/>
      <c r="BP194" s="30"/>
      <c r="BQ194" s="30"/>
      <c r="BR194" s="30"/>
      <c r="BS194" s="30"/>
      <c r="BT194" s="30"/>
      <c r="BU194" s="30"/>
      <c r="BV194" s="30"/>
      <c r="BW194" s="30"/>
      <c r="BX194" s="30"/>
    </row>
    <row r="195" spans="1:76" s="31" customFormat="1" ht="16.8">
      <c r="A195" s="21">
        <f>IF(H195&lt;&gt;"",1+MAX($A$8:A194),"")</f>
        <v>130</v>
      </c>
      <c r="B195" s="362"/>
      <c r="C195" s="268" t="s">
        <v>307</v>
      </c>
      <c r="D195" s="269">
        <v>38</v>
      </c>
      <c r="E195" s="235">
        <v>0.05</v>
      </c>
      <c r="F195" s="269">
        <f t="shared" si="136"/>
        <v>39.9</v>
      </c>
      <c r="G195" s="271" t="s">
        <v>51</v>
      </c>
      <c r="H195" s="288">
        <v>1.1449433600000001</v>
      </c>
      <c r="I195" s="181">
        <f t="shared" si="137"/>
        <v>45.683240064000003</v>
      </c>
      <c r="J195" s="289">
        <v>1.37</v>
      </c>
      <c r="K195" s="231">
        <f t="shared" si="138"/>
        <v>1.1568888888888889</v>
      </c>
      <c r="L195" s="231">
        <f t="shared" si="139"/>
        <v>32.846715328467155</v>
      </c>
      <c r="M195" s="232">
        <f t="shared" si="140"/>
        <v>45</v>
      </c>
      <c r="N195" s="233">
        <f t="shared" si="141"/>
        <v>52.06</v>
      </c>
      <c r="O195" s="284">
        <f t="shared" si="142"/>
        <v>97.743240064000005</v>
      </c>
      <c r="P195" s="182">
        <f t="shared" si="143"/>
        <v>2.4497052647619051</v>
      </c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  <c r="BH195" s="30"/>
      <c r="BI195" s="30"/>
      <c r="BJ195" s="30"/>
      <c r="BK195" s="30"/>
      <c r="BL195" s="30"/>
      <c r="BM195" s="30"/>
      <c r="BN195" s="30"/>
      <c r="BO195" s="30"/>
      <c r="BP195" s="30"/>
      <c r="BQ195" s="30"/>
      <c r="BR195" s="30"/>
      <c r="BS195" s="30"/>
      <c r="BT195" s="30"/>
      <c r="BU195" s="30"/>
      <c r="BV195" s="30"/>
      <c r="BW195" s="30"/>
      <c r="BX195" s="30"/>
    </row>
    <row r="196" spans="1:76" s="31" customFormat="1" ht="16.8">
      <c r="A196" s="21">
        <f>IF(H196&lt;&gt;"",1+MAX($A$8:A195),"")</f>
        <v>131</v>
      </c>
      <c r="B196" s="362"/>
      <c r="C196" s="268" t="s">
        <v>308</v>
      </c>
      <c r="D196" s="269">
        <v>38</v>
      </c>
      <c r="E196" s="235">
        <v>0.05</v>
      </c>
      <c r="F196" s="269">
        <f t="shared" si="136"/>
        <v>39.9</v>
      </c>
      <c r="G196" s="271" t="s">
        <v>51</v>
      </c>
      <c r="H196" s="288">
        <v>1.5287596000000001</v>
      </c>
      <c r="I196" s="181">
        <f t="shared" si="137"/>
        <v>60.99750804</v>
      </c>
      <c r="J196" s="289">
        <v>1.6</v>
      </c>
      <c r="K196" s="231">
        <f t="shared" si="138"/>
        <v>1.3511111111111112</v>
      </c>
      <c r="L196" s="231">
        <f t="shared" si="139"/>
        <v>28.125</v>
      </c>
      <c r="M196" s="232">
        <f t="shared" si="140"/>
        <v>45</v>
      </c>
      <c r="N196" s="233">
        <f t="shared" si="141"/>
        <v>60.800000000000004</v>
      </c>
      <c r="O196" s="284">
        <f t="shared" si="142"/>
        <v>121.79750804</v>
      </c>
      <c r="P196" s="182">
        <f t="shared" si="143"/>
        <v>3.0525691238095241</v>
      </c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  <c r="BH196" s="30"/>
      <c r="BI196" s="30"/>
      <c r="BJ196" s="30"/>
      <c r="BK196" s="30"/>
      <c r="BL196" s="30"/>
      <c r="BM196" s="30"/>
      <c r="BN196" s="30"/>
      <c r="BO196" s="30"/>
      <c r="BP196" s="30"/>
      <c r="BQ196" s="30"/>
      <c r="BR196" s="30"/>
      <c r="BS196" s="30"/>
      <c r="BT196" s="30"/>
      <c r="BU196" s="30"/>
      <c r="BV196" s="30"/>
      <c r="BW196" s="30"/>
      <c r="BX196" s="30"/>
    </row>
    <row r="197" spans="1:76" s="31" customFormat="1" ht="16.8">
      <c r="A197" s="21" t="str">
        <f>IF(H197&lt;&gt;"",1+MAX($A$8:A196),"")</f>
        <v/>
      </c>
      <c r="B197" s="362"/>
      <c r="C197" s="179" t="s">
        <v>136</v>
      </c>
      <c r="D197" s="234"/>
      <c r="E197" s="235"/>
      <c r="F197" s="234"/>
      <c r="G197" s="180"/>
      <c r="H197" s="283"/>
      <c r="I197" s="181"/>
      <c r="J197" s="283"/>
      <c r="K197" s="181"/>
      <c r="L197" s="231"/>
      <c r="M197" s="232"/>
      <c r="N197" s="233"/>
      <c r="O197" s="284"/>
      <c r="P197" s="182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  <c r="BH197" s="30"/>
      <c r="BI197" s="30"/>
      <c r="BJ197" s="30"/>
      <c r="BK197" s="30"/>
      <c r="BL197" s="30"/>
      <c r="BM197" s="30"/>
      <c r="BN197" s="30"/>
      <c r="BO197" s="30"/>
      <c r="BP197" s="30"/>
      <c r="BQ197" s="30"/>
      <c r="BR197" s="30"/>
      <c r="BS197" s="30"/>
      <c r="BT197" s="30"/>
      <c r="BU197" s="30"/>
      <c r="BV197" s="30"/>
      <c r="BW197" s="30"/>
      <c r="BX197" s="30"/>
    </row>
    <row r="198" spans="1:76" s="31" customFormat="1" ht="16.8">
      <c r="A198" s="21">
        <f>IF(H198&lt;&gt;"",1+MAX($A$8:A197),"")</f>
        <v>132</v>
      </c>
      <c r="B198" s="362"/>
      <c r="C198" s="268" t="s">
        <v>309</v>
      </c>
      <c r="D198" s="269">
        <v>1</v>
      </c>
      <c r="E198" s="235">
        <v>0.05</v>
      </c>
      <c r="F198" s="234">
        <f t="shared" ref="F198:F199" si="146">(1+E198)*D198</f>
        <v>1.05</v>
      </c>
      <c r="G198" s="180" t="s">
        <v>50</v>
      </c>
      <c r="H198" s="288">
        <v>2.2768760000000001</v>
      </c>
      <c r="I198" s="181">
        <f t="shared" ref="I198:I201" si="147">H198*F198</f>
        <v>2.3907198000000003</v>
      </c>
      <c r="J198" s="289">
        <v>1.1399999999999999</v>
      </c>
      <c r="K198" s="231">
        <f t="shared" ref="K198:K201" si="148">N198/M198</f>
        <v>2.5333333333333333E-2</v>
      </c>
      <c r="L198" s="231">
        <f>D198/K198</f>
        <v>39.473684210526315</v>
      </c>
      <c r="M198" s="232">
        <f>$M$173</f>
        <v>45</v>
      </c>
      <c r="N198" s="233">
        <f>D198*J198</f>
        <v>1.1399999999999999</v>
      </c>
      <c r="O198" s="284">
        <f>N198+I198</f>
        <v>3.5307198</v>
      </c>
      <c r="P198" s="182">
        <f>O198/F198</f>
        <v>3.3625902857142855</v>
      </c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  <c r="BH198" s="30"/>
      <c r="BI198" s="30"/>
      <c r="BJ198" s="30"/>
      <c r="BK198" s="30"/>
      <c r="BL198" s="30"/>
      <c r="BM198" s="30"/>
      <c r="BN198" s="30"/>
      <c r="BO198" s="30"/>
      <c r="BP198" s="30"/>
      <c r="BQ198" s="30"/>
      <c r="BR198" s="30"/>
      <c r="BS198" s="30"/>
      <c r="BT198" s="30"/>
      <c r="BU198" s="30"/>
      <c r="BV198" s="30"/>
      <c r="BW198" s="30"/>
      <c r="BX198" s="30"/>
    </row>
    <row r="199" spans="1:76" s="31" customFormat="1" ht="16.8">
      <c r="A199" s="21">
        <f>IF(H199&lt;&gt;"",1+MAX($A$8:A198),"")</f>
        <v>133</v>
      </c>
      <c r="B199" s="362"/>
      <c r="C199" s="268" t="s">
        <v>310</v>
      </c>
      <c r="D199" s="269">
        <v>111.14</v>
      </c>
      <c r="E199" s="235">
        <v>0.05</v>
      </c>
      <c r="F199" s="234">
        <f t="shared" si="146"/>
        <v>116.697</v>
      </c>
      <c r="G199" s="180" t="s">
        <v>51</v>
      </c>
      <c r="H199" s="288">
        <v>4.7684288800000001</v>
      </c>
      <c r="I199" s="181">
        <f t="shared" si="147"/>
        <v>556.46134500936</v>
      </c>
      <c r="J199" s="289">
        <v>2.65</v>
      </c>
      <c r="K199" s="231">
        <f t="shared" si="148"/>
        <v>6.5449111111111113</v>
      </c>
      <c r="L199" s="231">
        <f>D199/K199</f>
        <v>16.981132075471699</v>
      </c>
      <c r="M199" s="232">
        <f>$M$173</f>
        <v>45</v>
      </c>
      <c r="N199" s="233">
        <f>D199*J199</f>
        <v>294.52100000000002</v>
      </c>
      <c r="O199" s="284">
        <f>N199+I199</f>
        <v>850.98234500935996</v>
      </c>
      <c r="P199" s="182">
        <f>O199/F199</f>
        <v>7.2922384038095229</v>
      </c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  <c r="BM199" s="30"/>
      <c r="BN199" s="30"/>
      <c r="BO199" s="30"/>
      <c r="BP199" s="30"/>
      <c r="BQ199" s="30"/>
      <c r="BR199" s="30"/>
      <c r="BS199" s="30"/>
      <c r="BT199" s="30"/>
      <c r="BU199" s="30"/>
      <c r="BV199" s="30"/>
      <c r="BW199" s="30"/>
      <c r="BX199" s="30"/>
    </row>
    <row r="200" spans="1:76" s="31" customFormat="1" ht="16.8">
      <c r="A200" s="21">
        <f>IF(H200&lt;&gt;"",1+MAX($A$8:A199),"")</f>
        <v>134</v>
      </c>
      <c r="B200" s="362"/>
      <c r="C200" s="268" t="s">
        <v>311</v>
      </c>
      <c r="D200" s="308">
        <v>101.5</v>
      </c>
      <c r="E200" s="235">
        <v>0.05</v>
      </c>
      <c r="F200" s="269">
        <f>(1+E200)*D200</f>
        <v>106.575</v>
      </c>
      <c r="G200" s="271" t="s">
        <v>51</v>
      </c>
      <c r="H200" s="288">
        <v>3.3762818400000003</v>
      </c>
      <c r="I200" s="181">
        <f t="shared" si="147"/>
        <v>359.82723709800007</v>
      </c>
      <c r="J200" s="289">
        <v>2.5099999999999998</v>
      </c>
      <c r="K200" s="231">
        <f t="shared" si="148"/>
        <v>5.6614444444444443</v>
      </c>
      <c r="L200" s="231">
        <f>D200/K200</f>
        <v>17.928286852589643</v>
      </c>
      <c r="M200" s="232">
        <f>$M$173</f>
        <v>45</v>
      </c>
      <c r="N200" s="233">
        <f>D200*J200</f>
        <v>254.76499999999999</v>
      </c>
      <c r="O200" s="284">
        <f>N200+I200</f>
        <v>614.59223709800006</v>
      </c>
      <c r="P200" s="182">
        <f>O200/F200</f>
        <v>5.7667580304761907</v>
      </c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  <c r="BM200" s="30"/>
      <c r="BN200" s="30"/>
      <c r="BO200" s="30"/>
      <c r="BP200" s="30"/>
      <c r="BQ200" s="30"/>
      <c r="BR200" s="30"/>
      <c r="BS200" s="30"/>
      <c r="BT200" s="30"/>
      <c r="BU200" s="30"/>
      <c r="BV200" s="30"/>
      <c r="BW200" s="30"/>
      <c r="BX200" s="30"/>
    </row>
    <row r="201" spans="1:76" s="31" customFormat="1" ht="16.8">
      <c r="A201" s="265">
        <f>IF(H201&lt;&gt;"",1+MAX($A$8:A200),"")</f>
        <v>135</v>
      </c>
      <c r="B201" s="362"/>
      <c r="C201" s="268" t="s">
        <v>312</v>
      </c>
      <c r="D201" s="308">
        <v>9</v>
      </c>
      <c r="E201" s="270">
        <v>0</v>
      </c>
      <c r="F201" s="269">
        <f>(1+E201)*D201</f>
        <v>9</v>
      </c>
      <c r="G201" s="271" t="s">
        <v>52</v>
      </c>
      <c r="H201" s="288">
        <v>15.346144239999999</v>
      </c>
      <c r="I201" s="181">
        <f t="shared" si="147"/>
        <v>138.11529815999998</v>
      </c>
      <c r="J201" s="289">
        <v>11.4</v>
      </c>
      <c r="K201" s="231">
        <f t="shared" si="148"/>
        <v>2.2800000000000002</v>
      </c>
      <c r="L201" s="231">
        <f>D201/K201</f>
        <v>3.947368421052631</v>
      </c>
      <c r="M201" s="232">
        <f>$M$173</f>
        <v>45</v>
      </c>
      <c r="N201" s="233">
        <f>D201*J201</f>
        <v>102.60000000000001</v>
      </c>
      <c r="O201" s="284">
        <f>N201+I201</f>
        <v>240.71529815999997</v>
      </c>
      <c r="P201" s="182">
        <f>O201/F201</f>
        <v>26.746144239999996</v>
      </c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  <c r="BH201" s="30"/>
      <c r="BI201" s="30"/>
      <c r="BJ201" s="30"/>
      <c r="BK201" s="30"/>
      <c r="BL201" s="30"/>
      <c r="BM201" s="30"/>
      <c r="BN201" s="30"/>
      <c r="BO201" s="30"/>
      <c r="BP201" s="30"/>
      <c r="BQ201" s="30"/>
      <c r="BR201" s="30"/>
      <c r="BS201" s="30"/>
      <c r="BT201" s="30"/>
      <c r="BU201" s="30"/>
      <c r="BV201" s="30"/>
      <c r="BW201" s="30"/>
      <c r="BX201" s="30"/>
    </row>
    <row r="202" spans="1:76" s="31" customFormat="1" ht="16.8">
      <c r="A202" s="21" t="str">
        <f>IF(H202&lt;&gt;"",1+MAX($A$8:A201),"")</f>
        <v/>
      </c>
      <c r="B202" s="362"/>
      <c r="C202" s="179" t="s">
        <v>114</v>
      </c>
      <c r="D202" s="308"/>
      <c r="E202" s="270"/>
      <c r="F202" s="269"/>
      <c r="G202" s="271"/>
      <c r="H202" s="283"/>
      <c r="I202" s="181"/>
      <c r="J202" s="283"/>
      <c r="K202" s="181"/>
      <c r="L202" s="231"/>
      <c r="M202" s="232"/>
      <c r="N202" s="233"/>
      <c r="O202" s="284"/>
      <c r="P202" s="182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  <c r="BM202" s="30"/>
      <c r="BN202" s="30"/>
      <c r="BO202" s="30"/>
      <c r="BP202" s="30"/>
      <c r="BQ202" s="30"/>
      <c r="BR202" s="30"/>
      <c r="BS202" s="30"/>
      <c r="BT202" s="30"/>
      <c r="BU202" s="30"/>
      <c r="BV202" s="30"/>
      <c r="BW202" s="30"/>
      <c r="BX202" s="30"/>
    </row>
    <row r="203" spans="1:76" s="31" customFormat="1" ht="16.8">
      <c r="A203" s="21">
        <f>IF(H203&lt;&gt;"",1+MAX($A$8:A202),"")</f>
        <v>136</v>
      </c>
      <c r="B203" s="362"/>
      <c r="C203" s="268" t="s">
        <v>313</v>
      </c>
      <c r="D203" s="269">
        <v>173</v>
      </c>
      <c r="E203" s="235">
        <v>0.05</v>
      </c>
      <c r="F203" s="269">
        <f>(1+E203)*D203</f>
        <v>181.65</v>
      </c>
      <c r="G203" s="271" t="s">
        <v>50</v>
      </c>
      <c r="H203" s="288">
        <v>2.7647780000000002</v>
      </c>
      <c r="I203" s="181">
        <f t="shared" ref="I203:I204" si="149">H203*F203</f>
        <v>502.22192370000005</v>
      </c>
      <c r="J203" s="289">
        <v>1.83</v>
      </c>
      <c r="K203" s="231">
        <f t="shared" ref="K203:K204" si="150">N203/M203</f>
        <v>7.0353333333333339</v>
      </c>
      <c r="L203" s="231">
        <f>D203/K203</f>
        <v>24.590163934426229</v>
      </c>
      <c r="M203" s="232">
        <f>$M$173</f>
        <v>45</v>
      </c>
      <c r="N203" s="233">
        <f>D203*J203</f>
        <v>316.59000000000003</v>
      </c>
      <c r="O203" s="284">
        <f>N203+I203</f>
        <v>818.81192370000008</v>
      </c>
      <c r="P203" s="182">
        <f>O203/F203</f>
        <v>4.5076351428571435</v>
      </c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  <c r="BM203" s="30"/>
      <c r="BN203" s="30"/>
      <c r="BO203" s="30"/>
      <c r="BP203" s="30"/>
      <c r="BQ203" s="30"/>
      <c r="BR203" s="30"/>
      <c r="BS203" s="30"/>
      <c r="BT203" s="30"/>
      <c r="BU203" s="30"/>
      <c r="BV203" s="30"/>
      <c r="BW203" s="30"/>
      <c r="BX203" s="30"/>
    </row>
    <row r="204" spans="1:76" s="31" customFormat="1" ht="16.8">
      <c r="A204" s="21">
        <f>IF(H204&lt;&gt;"",1+MAX($A$8:A203),"")</f>
        <v>137</v>
      </c>
      <c r="B204" s="363"/>
      <c r="C204" s="268" t="s">
        <v>314</v>
      </c>
      <c r="D204" s="269">
        <v>6</v>
      </c>
      <c r="E204" s="235">
        <v>0.05</v>
      </c>
      <c r="F204" s="269">
        <f>(1+E204)*D204</f>
        <v>6.3000000000000007</v>
      </c>
      <c r="G204" s="271" t="s">
        <v>50</v>
      </c>
      <c r="H204" s="288">
        <v>2.7647780000000002</v>
      </c>
      <c r="I204" s="181">
        <f t="shared" si="149"/>
        <v>17.418101400000005</v>
      </c>
      <c r="J204" s="289">
        <v>1.83</v>
      </c>
      <c r="K204" s="231">
        <f t="shared" si="150"/>
        <v>0.24400000000000002</v>
      </c>
      <c r="L204" s="231">
        <f>D204/K204</f>
        <v>24.590163934426226</v>
      </c>
      <c r="M204" s="232">
        <f>$M$173</f>
        <v>45</v>
      </c>
      <c r="N204" s="233">
        <f>D204*J204</f>
        <v>10.98</v>
      </c>
      <c r="O204" s="284">
        <f>N204+I204</f>
        <v>28.398101400000005</v>
      </c>
      <c r="P204" s="182">
        <f>O204/F204</f>
        <v>4.5076351428571435</v>
      </c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  <c r="BM204" s="30"/>
      <c r="BN204" s="30"/>
      <c r="BO204" s="30"/>
      <c r="BP204" s="30"/>
      <c r="BQ204" s="30"/>
      <c r="BR204" s="30"/>
      <c r="BS204" s="30"/>
      <c r="BT204" s="30"/>
      <c r="BU204" s="30"/>
      <c r="BV204" s="30"/>
      <c r="BW204" s="30"/>
      <c r="BX204" s="30"/>
    </row>
    <row r="205" spans="1:76" s="31" customFormat="1" ht="16.8">
      <c r="A205" s="21" t="str">
        <f>IF(H205&lt;&gt;"",1+MAX($A$8:A204),"")</f>
        <v/>
      </c>
      <c r="B205" s="38"/>
      <c r="C205" s="42"/>
      <c r="D205" s="25"/>
      <c r="E205" s="24"/>
      <c r="F205" s="25"/>
      <c r="G205" s="158"/>
      <c r="H205" s="319"/>
      <c r="I205" s="27"/>
      <c r="J205" s="139"/>
      <c r="K205" s="135"/>
      <c r="L205" s="164"/>
      <c r="M205" s="165"/>
      <c r="N205" s="166"/>
      <c r="O205" s="331"/>
      <c r="P205" s="167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  <c r="BM205" s="30"/>
      <c r="BN205" s="30"/>
      <c r="BO205" s="30"/>
      <c r="BP205" s="30"/>
      <c r="BQ205" s="30"/>
      <c r="BR205" s="30"/>
      <c r="BS205" s="30"/>
      <c r="BT205" s="30"/>
      <c r="BU205" s="30"/>
      <c r="BV205" s="30"/>
      <c r="BW205" s="30"/>
      <c r="BX205" s="30"/>
    </row>
    <row r="206" spans="1:76" s="33" customFormat="1" ht="19.2">
      <c r="A206" s="263" t="str">
        <f>IF(H206&lt;&gt;"",1+MAX($A$8:A205),"")</f>
        <v/>
      </c>
      <c r="B206" s="359" t="s">
        <v>59</v>
      </c>
      <c r="C206" s="360"/>
      <c r="D206" s="360"/>
      <c r="E206" s="360"/>
      <c r="F206" s="360"/>
      <c r="G206" s="360"/>
      <c r="H206" s="360"/>
      <c r="I206" s="360"/>
      <c r="J206" s="360"/>
      <c r="K206" s="360"/>
      <c r="L206" s="360"/>
      <c r="M206" s="261">
        <v>40</v>
      </c>
      <c r="N206" s="262"/>
      <c r="O206" s="282">
        <f>SUM(O207:O226)</f>
        <v>28838.512998535996</v>
      </c>
      <c r="P206" s="263"/>
      <c r="Q206" s="30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  <c r="AW206" s="32"/>
      <c r="AX206" s="32"/>
      <c r="AY206" s="32"/>
      <c r="AZ206" s="32"/>
      <c r="BA206" s="32"/>
      <c r="BB206" s="32"/>
      <c r="BC206" s="32"/>
      <c r="BD206" s="32"/>
      <c r="BE206" s="32"/>
      <c r="BF206" s="32"/>
      <c r="BG206" s="32"/>
      <c r="BH206" s="32"/>
      <c r="BI206" s="32"/>
      <c r="BJ206" s="32"/>
      <c r="BK206" s="32"/>
      <c r="BL206" s="32"/>
      <c r="BM206" s="32"/>
      <c r="BN206" s="32"/>
      <c r="BO206" s="32"/>
      <c r="BP206" s="32"/>
      <c r="BQ206" s="32"/>
    </row>
    <row r="207" spans="1:76" s="31" customFormat="1" ht="16.8">
      <c r="A207" s="21" t="str">
        <f>IF(H207&lt;&gt;"",1+MAX($A$8:A206),"")</f>
        <v/>
      </c>
      <c r="B207" s="267"/>
      <c r="C207" s="236"/>
      <c r="D207" s="234"/>
      <c r="E207" s="235"/>
      <c r="F207" s="234"/>
      <c r="G207" s="180"/>
      <c r="H207" s="283"/>
      <c r="I207" s="181"/>
      <c r="J207" s="283"/>
      <c r="K207" s="181"/>
      <c r="L207" s="231"/>
      <c r="M207" s="232"/>
      <c r="N207" s="233"/>
      <c r="O207" s="284"/>
      <c r="P207" s="182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  <c r="BM207" s="30"/>
      <c r="BN207" s="30"/>
      <c r="BO207" s="30"/>
      <c r="BP207" s="30"/>
      <c r="BQ207" s="30"/>
      <c r="BR207" s="30"/>
      <c r="BS207" s="30"/>
      <c r="BT207" s="30"/>
      <c r="BU207" s="30"/>
      <c r="BV207" s="30"/>
      <c r="BW207" s="30"/>
      <c r="BX207" s="30"/>
    </row>
    <row r="208" spans="1:76" s="31" customFormat="1" ht="16.05" customHeight="1">
      <c r="A208" s="21" t="str">
        <f>IF(H208&lt;&gt;"",1+MAX($A$8:A207),"")</f>
        <v/>
      </c>
      <c r="B208" s="361" t="s">
        <v>294</v>
      </c>
      <c r="C208" s="179" t="s">
        <v>60</v>
      </c>
      <c r="D208" s="234"/>
      <c r="E208" s="235"/>
      <c r="F208" s="234"/>
      <c r="G208" s="180"/>
      <c r="H208" s="283"/>
      <c r="I208" s="181"/>
      <c r="J208" s="283"/>
      <c r="K208" s="181"/>
      <c r="L208" s="231"/>
      <c r="M208" s="232"/>
      <c r="N208" s="233"/>
      <c r="O208" s="284"/>
      <c r="P208" s="182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  <c r="BM208" s="30"/>
      <c r="BN208" s="30"/>
      <c r="BO208" s="30"/>
      <c r="BP208" s="30"/>
      <c r="BQ208" s="30"/>
      <c r="BR208" s="30"/>
      <c r="BS208" s="30"/>
      <c r="BT208" s="30"/>
      <c r="BU208" s="30"/>
      <c r="BV208" s="30"/>
      <c r="BW208" s="30"/>
      <c r="BX208" s="30"/>
    </row>
    <row r="209" spans="1:76" s="31" customFormat="1" ht="16.8">
      <c r="A209" s="307">
        <f>IF(H209&lt;&gt;"",1+MAX($A$8:A208),"")</f>
        <v>138</v>
      </c>
      <c r="B209" s="362"/>
      <c r="C209" s="290" t="s">
        <v>398</v>
      </c>
      <c r="D209" s="234">
        <v>1</v>
      </c>
      <c r="E209" s="287">
        <v>0</v>
      </c>
      <c r="F209" s="286">
        <f t="shared" ref="F209:F211" si="151">(1+E209)*D209</f>
        <v>1</v>
      </c>
      <c r="G209" s="275" t="s">
        <v>52</v>
      </c>
      <c r="H209" s="288">
        <v>462.11150027999992</v>
      </c>
      <c r="I209" s="181">
        <f t="shared" ref="I209:I215" si="152">H209*F209</f>
        <v>462.11150027999992</v>
      </c>
      <c r="J209" s="289">
        <v>330.28999999999996</v>
      </c>
      <c r="K209" s="231">
        <f t="shared" ref="K209:K215" si="153">N209/M209</f>
        <v>8.2572499999999991</v>
      </c>
      <c r="L209" s="231">
        <f t="shared" ref="L209:L215" si="154">D209/K209</f>
        <v>0.12110569499530717</v>
      </c>
      <c r="M209" s="232">
        <f>M$206</f>
        <v>40</v>
      </c>
      <c r="N209" s="233">
        <f t="shared" ref="N209:N215" si="155">D209*J209</f>
        <v>330.28999999999996</v>
      </c>
      <c r="O209" s="284">
        <f t="shared" ref="O209:O215" si="156">N209+I209</f>
        <v>792.40150027999994</v>
      </c>
      <c r="P209" s="182">
        <f t="shared" ref="P209:P215" si="157">O209/F209</f>
        <v>792.40150027999994</v>
      </c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  <c r="BM209" s="30"/>
      <c r="BN209" s="30"/>
      <c r="BO209" s="30"/>
      <c r="BP209" s="30"/>
      <c r="BQ209" s="30"/>
      <c r="BR209" s="30"/>
      <c r="BS209" s="30"/>
      <c r="BT209" s="30"/>
      <c r="BU209" s="30"/>
      <c r="BV209" s="30"/>
      <c r="BW209" s="30"/>
      <c r="BX209" s="30"/>
    </row>
    <row r="210" spans="1:76" s="31" customFormat="1" ht="16.8">
      <c r="A210" s="307">
        <f>IF(H210&lt;&gt;"",1+MAX($A$8:A209),"")</f>
        <v>139</v>
      </c>
      <c r="B210" s="362"/>
      <c r="C210" s="290" t="s">
        <v>399</v>
      </c>
      <c r="D210" s="234">
        <v>2</v>
      </c>
      <c r="E210" s="287">
        <v>0</v>
      </c>
      <c r="F210" s="286">
        <f t="shared" si="151"/>
        <v>2</v>
      </c>
      <c r="G210" s="275" t="s">
        <v>52</v>
      </c>
      <c r="H210" s="288">
        <v>501.16317635999991</v>
      </c>
      <c r="I210" s="181">
        <f t="shared" si="152"/>
        <v>1002.3263527199998</v>
      </c>
      <c r="J210" s="289">
        <v>358.2</v>
      </c>
      <c r="K210" s="231">
        <f t="shared" si="153"/>
        <v>17.91</v>
      </c>
      <c r="L210" s="231">
        <f t="shared" si="154"/>
        <v>0.11166945840312674</v>
      </c>
      <c r="M210" s="232">
        <f t="shared" ref="M210:M225" si="158">M$206</f>
        <v>40</v>
      </c>
      <c r="N210" s="233">
        <f t="shared" si="155"/>
        <v>716.4</v>
      </c>
      <c r="O210" s="284">
        <f t="shared" si="156"/>
        <v>1718.7263527199998</v>
      </c>
      <c r="P210" s="182">
        <f t="shared" si="157"/>
        <v>859.3631763599999</v>
      </c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  <c r="BH210" s="30"/>
      <c r="BI210" s="30"/>
      <c r="BJ210" s="30"/>
      <c r="BK210" s="30"/>
      <c r="BL210" s="30"/>
      <c r="BM210" s="30"/>
      <c r="BN210" s="30"/>
      <c r="BO210" s="30"/>
      <c r="BP210" s="30"/>
      <c r="BQ210" s="30"/>
      <c r="BR210" s="30"/>
      <c r="BS210" s="30"/>
      <c r="BT210" s="30"/>
      <c r="BU210" s="30"/>
      <c r="BV210" s="30"/>
      <c r="BW210" s="30"/>
      <c r="BX210" s="30"/>
    </row>
    <row r="211" spans="1:76" s="31" customFormat="1" ht="16.8">
      <c r="A211" s="307">
        <f>IF(H211&lt;&gt;"",1+MAX($A$8:A210),"")</f>
        <v>140</v>
      </c>
      <c r="B211" s="362"/>
      <c r="C211" s="290" t="s">
        <v>400</v>
      </c>
      <c r="D211" s="234">
        <v>2</v>
      </c>
      <c r="E211" s="287">
        <v>0</v>
      </c>
      <c r="F211" s="286">
        <f t="shared" si="151"/>
        <v>2</v>
      </c>
      <c r="G211" s="275" t="s">
        <v>52</v>
      </c>
      <c r="H211" s="288">
        <v>417.63598030000003</v>
      </c>
      <c r="I211" s="181">
        <f t="shared" si="152"/>
        <v>835.27196060000006</v>
      </c>
      <c r="J211" s="289">
        <v>298.5</v>
      </c>
      <c r="K211" s="231">
        <f t="shared" si="153"/>
        <v>14.925000000000001</v>
      </c>
      <c r="L211" s="231">
        <f t="shared" si="154"/>
        <v>0.13400335008375208</v>
      </c>
      <c r="M211" s="232">
        <f t="shared" si="158"/>
        <v>40</v>
      </c>
      <c r="N211" s="233">
        <f t="shared" si="155"/>
        <v>597</v>
      </c>
      <c r="O211" s="284">
        <f t="shared" si="156"/>
        <v>1432.2719606000001</v>
      </c>
      <c r="P211" s="182">
        <f t="shared" si="157"/>
        <v>716.13598030000003</v>
      </c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  <c r="BH211" s="30"/>
      <c r="BI211" s="30"/>
      <c r="BJ211" s="30"/>
      <c r="BK211" s="30"/>
      <c r="BL211" s="30"/>
      <c r="BM211" s="30"/>
      <c r="BN211" s="30"/>
      <c r="BO211" s="30"/>
      <c r="BP211" s="30"/>
      <c r="BQ211" s="30"/>
      <c r="BR211" s="30"/>
      <c r="BS211" s="30"/>
      <c r="BT211" s="30"/>
      <c r="BU211" s="30"/>
      <c r="BV211" s="30"/>
      <c r="BW211" s="30"/>
      <c r="BX211" s="30"/>
    </row>
    <row r="212" spans="1:76" s="31" customFormat="1" ht="16.8">
      <c r="A212" s="307">
        <f>IF(H212&lt;&gt;"",1+MAX($A$8:A211),"")</f>
        <v>141</v>
      </c>
      <c r="B212" s="362"/>
      <c r="C212" s="290" t="s">
        <v>401</v>
      </c>
      <c r="D212" s="272">
        <v>7</v>
      </c>
      <c r="E212" s="235">
        <v>0</v>
      </c>
      <c r="F212" s="234">
        <f>(1+E212)*D212</f>
        <v>7</v>
      </c>
      <c r="G212" s="180" t="s">
        <v>52</v>
      </c>
      <c r="H212" s="288">
        <v>385.09291689999998</v>
      </c>
      <c r="I212" s="181">
        <f t="shared" si="152"/>
        <v>2695.6504182999997</v>
      </c>
      <c r="J212" s="289">
        <v>275.24</v>
      </c>
      <c r="K212" s="231">
        <f t="shared" si="153"/>
        <v>48.167000000000002</v>
      </c>
      <c r="L212" s="231">
        <f t="shared" si="154"/>
        <v>0.14532771399505887</v>
      </c>
      <c r="M212" s="232">
        <f t="shared" si="158"/>
        <v>40</v>
      </c>
      <c r="N212" s="233">
        <f t="shared" si="155"/>
        <v>1926.68</v>
      </c>
      <c r="O212" s="284">
        <f t="shared" si="156"/>
        <v>4622.3304183</v>
      </c>
      <c r="P212" s="182">
        <f t="shared" si="157"/>
        <v>660.33291689999999</v>
      </c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  <c r="BH212" s="30"/>
      <c r="BI212" s="30"/>
      <c r="BJ212" s="30"/>
      <c r="BK212" s="30"/>
      <c r="BL212" s="30"/>
      <c r="BM212" s="30"/>
      <c r="BN212" s="30"/>
      <c r="BO212" s="30"/>
      <c r="BP212" s="30"/>
      <c r="BQ212" s="30"/>
      <c r="BR212" s="30"/>
      <c r="BS212" s="30"/>
      <c r="BT212" s="30"/>
      <c r="BU212" s="30"/>
      <c r="BV212" s="30"/>
      <c r="BW212" s="30"/>
      <c r="BX212" s="30"/>
    </row>
    <row r="213" spans="1:76" s="31" customFormat="1" ht="16.8">
      <c r="A213" s="307">
        <f>IF(H213&lt;&gt;"",1+MAX($A$8:A212),"")</f>
        <v>142</v>
      </c>
      <c r="B213" s="362"/>
      <c r="C213" s="290" t="s">
        <v>402</v>
      </c>
      <c r="D213" s="272">
        <v>2</v>
      </c>
      <c r="E213" s="235">
        <v>0</v>
      </c>
      <c r="F213" s="234">
        <f>(1+E213)*D213</f>
        <v>2</v>
      </c>
      <c r="G213" s="180" t="s">
        <v>52</v>
      </c>
      <c r="H213" s="288">
        <v>411.27923524919993</v>
      </c>
      <c r="I213" s="181">
        <f t="shared" si="152"/>
        <v>822.55847049839986</v>
      </c>
      <c r="J213" s="289">
        <v>293.95</v>
      </c>
      <c r="K213" s="231">
        <f t="shared" si="153"/>
        <v>14.6975</v>
      </c>
      <c r="L213" s="231">
        <f t="shared" si="154"/>
        <v>0.13607756421160061</v>
      </c>
      <c r="M213" s="232">
        <f t="shared" si="158"/>
        <v>40</v>
      </c>
      <c r="N213" s="233">
        <f t="shared" si="155"/>
        <v>587.9</v>
      </c>
      <c r="O213" s="284">
        <f t="shared" si="156"/>
        <v>1410.4584704983999</v>
      </c>
      <c r="P213" s="182">
        <f t="shared" si="157"/>
        <v>705.22923524919997</v>
      </c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  <c r="BH213" s="30"/>
      <c r="BI213" s="30"/>
      <c r="BJ213" s="30"/>
      <c r="BK213" s="30"/>
      <c r="BL213" s="30"/>
      <c r="BM213" s="30"/>
      <c r="BN213" s="30"/>
      <c r="BO213" s="30"/>
      <c r="BP213" s="30"/>
      <c r="BQ213" s="30"/>
      <c r="BR213" s="30"/>
      <c r="BS213" s="30"/>
      <c r="BT213" s="30"/>
      <c r="BU213" s="30"/>
      <c r="BV213" s="30"/>
      <c r="BW213" s="30"/>
      <c r="BX213" s="30"/>
    </row>
    <row r="214" spans="1:76" s="31" customFormat="1" ht="33.6">
      <c r="A214" s="307">
        <f>IF(H214&lt;&gt;"",1+MAX($A$8:A213),"")</f>
        <v>143</v>
      </c>
      <c r="B214" s="362"/>
      <c r="C214" s="290" t="s">
        <v>412</v>
      </c>
      <c r="D214" s="234">
        <v>1</v>
      </c>
      <c r="E214" s="287">
        <v>0</v>
      </c>
      <c r="F214" s="286">
        <f t="shared" ref="F214:F215" si="159">(1+E214)*D214</f>
        <v>1</v>
      </c>
      <c r="G214" s="275" t="s">
        <v>52</v>
      </c>
      <c r="H214" s="288">
        <v>1589.3505230399999</v>
      </c>
      <c r="I214" s="181">
        <f t="shared" si="152"/>
        <v>1589.3505230399999</v>
      </c>
      <c r="J214" s="289">
        <v>851.96</v>
      </c>
      <c r="K214" s="231">
        <f t="shared" si="153"/>
        <v>21.298999999999999</v>
      </c>
      <c r="L214" s="231">
        <f t="shared" si="154"/>
        <v>4.6950561059204657E-2</v>
      </c>
      <c r="M214" s="232">
        <f t="shared" si="158"/>
        <v>40</v>
      </c>
      <c r="N214" s="233">
        <f t="shared" si="155"/>
        <v>851.96</v>
      </c>
      <c r="O214" s="284">
        <f t="shared" si="156"/>
        <v>2441.3105230399997</v>
      </c>
      <c r="P214" s="182">
        <f t="shared" si="157"/>
        <v>2441.3105230399997</v>
      </c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  <c r="BH214" s="30"/>
      <c r="BI214" s="30"/>
      <c r="BJ214" s="30"/>
      <c r="BK214" s="30"/>
      <c r="BL214" s="30"/>
      <c r="BM214" s="30"/>
      <c r="BN214" s="30"/>
      <c r="BO214" s="30"/>
      <c r="BP214" s="30"/>
      <c r="BQ214" s="30"/>
      <c r="BR214" s="30"/>
      <c r="BS214" s="30"/>
      <c r="BT214" s="30"/>
      <c r="BU214" s="30"/>
      <c r="BV214" s="30"/>
      <c r="BW214" s="30"/>
      <c r="BX214" s="30"/>
    </row>
    <row r="215" spans="1:76" s="31" customFormat="1" ht="16.8">
      <c r="A215" s="307">
        <f>IF(H215&lt;&gt;"",1+MAX($A$8:A214),"")</f>
        <v>144</v>
      </c>
      <c r="B215" s="363"/>
      <c r="C215" s="290" t="s">
        <v>318</v>
      </c>
      <c r="D215" s="234">
        <v>1</v>
      </c>
      <c r="E215" s="287">
        <v>0</v>
      </c>
      <c r="F215" s="286">
        <f t="shared" si="159"/>
        <v>1</v>
      </c>
      <c r="G215" s="275" t="s">
        <v>52</v>
      </c>
      <c r="H215" s="288">
        <v>216.23816639999998</v>
      </c>
      <c r="I215" s="181">
        <f t="shared" si="152"/>
        <v>216.23816639999998</v>
      </c>
      <c r="J215" s="289">
        <v>154.54999999999998</v>
      </c>
      <c r="K215" s="231">
        <f t="shared" si="153"/>
        <v>3.8637499999999996</v>
      </c>
      <c r="L215" s="231">
        <f t="shared" si="154"/>
        <v>0.25881591717890651</v>
      </c>
      <c r="M215" s="232">
        <f t="shared" si="158"/>
        <v>40</v>
      </c>
      <c r="N215" s="233">
        <f t="shared" si="155"/>
        <v>154.54999999999998</v>
      </c>
      <c r="O215" s="284">
        <f t="shared" si="156"/>
        <v>370.78816639999997</v>
      </c>
      <c r="P215" s="182">
        <f t="shared" si="157"/>
        <v>370.78816639999997</v>
      </c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  <c r="BH215" s="30"/>
      <c r="BI215" s="30"/>
      <c r="BJ215" s="30"/>
      <c r="BK215" s="30"/>
      <c r="BL215" s="30"/>
      <c r="BM215" s="30"/>
      <c r="BN215" s="30"/>
      <c r="BO215" s="30"/>
      <c r="BP215" s="30"/>
      <c r="BQ215" s="30"/>
      <c r="BR215" s="30"/>
      <c r="BS215" s="30"/>
      <c r="BT215" s="30"/>
      <c r="BU215" s="30"/>
      <c r="BV215" s="30"/>
      <c r="BW215" s="30"/>
      <c r="BX215" s="30"/>
    </row>
    <row r="216" spans="1:76" s="31" customFormat="1" ht="16.8">
      <c r="A216" s="21" t="str">
        <f>IF(H216&lt;&gt;"",1+MAX($A$8:A215),"")</f>
        <v/>
      </c>
      <c r="B216" s="361" t="s">
        <v>319</v>
      </c>
      <c r="C216" s="179" t="s">
        <v>93</v>
      </c>
      <c r="D216" s="234"/>
      <c r="E216" s="235"/>
      <c r="F216" s="234"/>
      <c r="G216" s="180"/>
      <c r="H216" s="283"/>
      <c r="I216" s="181"/>
      <c r="J216" s="283"/>
      <c r="K216" s="181"/>
      <c r="L216" s="231"/>
      <c r="M216" s="232"/>
      <c r="N216" s="233"/>
      <c r="O216" s="284"/>
      <c r="P216" s="182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  <c r="BH216" s="30"/>
      <c r="BI216" s="30"/>
      <c r="BJ216" s="30"/>
      <c r="BK216" s="30"/>
      <c r="BL216" s="30"/>
      <c r="BM216" s="30"/>
      <c r="BN216" s="30"/>
      <c r="BO216" s="30"/>
      <c r="BP216" s="30"/>
      <c r="BQ216" s="30"/>
      <c r="BR216" s="30"/>
      <c r="BS216" s="30"/>
      <c r="BT216" s="30"/>
      <c r="BU216" s="30"/>
      <c r="BV216" s="30"/>
      <c r="BW216" s="30"/>
      <c r="BX216" s="30"/>
    </row>
    <row r="217" spans="1:76" s="31" customFormat="1" ht="33.6">
      <c r="A217" s="307">
        <f>IF(H217&lt;&gt;"",1+MAX($A$8:A216),"")</f>
        <v>145</v>
      </c>
      <c r="B217" s="362"/>
      <c r="C217" s="268" t="s">
        <v>320</v>
      </c>
      <c r="D217" s="269">
        <v>4</v>
      </c>
      <c r="E217" s="270">
        <v>0</v>
      </c>
      <c r="F217" s="269">
        <f t="shared" ref="F217:F220" si="160">(1+E217)*D217</f>
        <v>4</v>
      </c>
      <c r="G217" s="271" t="s">
        <v>52</v>
      </c>
      <c r="H217" s="288">
        <v>389.7152353944</v>
      </c>
      <c r="I217" s="181">
        <f t="shared" ref="I217:I220" si="161">H217*F217</f>
        <v>1558.8609415776</v>
      </c>
      <c r="J217" s="289">
        <v>243.73</v>
      </c>
      <c r="K217" s="231">
        <f t="shared" ref="K217:K220" si="162">N217/M217</f>
        <v>24.372999999999998</v>
      </c>
      <c r="L217" s="231">
        <f>D217/K217</f>
        <v>0.16411603003323352</v>
      </c>
      <c r="M217" s="232">
        <f t="shared" si="158"/>
        <v>40</v>
      </c>
      <c r="N217" s="233">
        <f>D217*J217</f>
        <v>974.92</v>
      </c>
      <c r="O217" s="284">
        <f>N217+I217</f>
        <v>2533.7809415776001</v>
      </c>
      <c r="P217" s="182">
        <f>O217/F217</f>
        <v>633.44523539440002</v>
      </c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  <c r="BH217" s="30"/>
      <c r="BI217" s="30"/>
      <c r="BJ217" s="30"/>
      <c r="BK217" s="30"/>
      <c r="BL217" s="30"/>
      <c r="BM217" s="30"/>
      <c r="BN217" s="30"/>
      <c r="BO217" s="30"/>
      <c r="BP217" s="30"/>
      <c r="BQ217" s="30"/>
      <c r="BR217" s="30"/>
      <c r="BS217" s="30"/>
      <c r="BT217" s="30"/>
      <c r="BU217" s="30"/>
      <c r="BV217" s="30"/>
      <c r="BW217" s="30"/>
      <c r="BX217" s="30"/>
    </row>
    <row r="218" spans="1:76" s="31" customFormat="1" ht="33.6">
      <c r="A218" s="307">
        <f>IF(H218&lt;&gt;"",1+MAX($A$8:A217),"")</f>
        <v>146</v>
      </c>
      <c r="B218" s="362"/>
      <c r="C218" s="268" t="s">
        <v>321</v>
      </c>
      <c r="D218" s="269">
        <v>10</v>
      </c>
      <c r="E218" s="270">
        <v>0</v>
      </c>
      <c r="F218" s="269">
        <f t="shared" si="160"/>
        <v>10</v>
      </c>
      <c r="G218" s="271" t="s">
        <v>52</v>
      </c>
      <c r="H218" s="288">
        <v>437.88228695999999</v>
      </c>
      <c r="I218" s="181">
        <f t="shared" si="161"/>
        <v>4378.8228695999996</v>
      </c>
      <c r="J218" s="289">
        <v>273.84999999999997</v>
      </c>
      <c r="K218" s="231">
        <f t="shared" si="162"/>
        <v>68.462499999999991</v>
      </c>
      <c r="L218" s="231">
        <f>D218/K218</f>
        <v>0.14606536425050212</v>
      </c>
      <c r="M218" s="232">
        <f t="shared" si="158"/>
        <v>40</v>
      </c>
      <c r="N218" s="233">
        <f>D218*J218</f>
        <v>2738.4999999999995</v>
      </c>
      <c r="O218" s="284">
        <f>N218+I218</f>
        <v>7117.3228695999987</v>
      </c>
      <c r="P218" s="182">
        <f>O218/F218</f>
        <v>711.7322869599999</v>
      </c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  <c r="BH218" s="30"/>
      <c r="BI218" s="30"/>
      <c r="BJ218" s="30"/>
      <c r="BK218" s="30"/>
      <c r="BL218" s="30"/>
      <c r="BM218" s="30"/>
      <c r="BN218" s="30"/>
      <c r="BO218" s="30"/>
      <c r="BP218" s="30"/>
      <c r="BQ218" s="30"/>
      <c r="BR218" s="30"/>
      <c r="BS218" s="30"/>
      <c r="BT218" s="30"/>
      <c r="BU218" s="30"/>
      <c r="BV218" s="30"/>
      <c r="BW218" s="30"/>
      <c r="BX218" s="30"/>
    </row>
    <row r="219" spans="1:76" s="31" customFormat="1" ht="33.6">
      <c r="A219" s="307">
        <f>IF(H219&lt;&gt;"",1+MAX($A$8:A218),"")</f>
        <v>147</v>
      </c>
      <c r="B219" s="362"/>
      <c r="C219" s="268" t="s">
        <v>322</v>
      </c>
      <c r="D219" s="269">
        <v>1</v>
      </c>
      <c r="E219" s="270">
        <v>0</v>
      </c>
      <c r="F219" s="269">
        <f t="shared" si="160"/>
        <v>1</v>
      </c>
      <c r="G219" s="271" t="s">
        <v>52</v>
      </c>
      <c r="H219" s="288">
        <v>340.57511208</v>
      </c>
      <c r="I219" s="181">
        <f t="shared" si="161"/>
        <v>340.57511208</v>
      </c>
      <c r="J219" s="289">
        <v>212.98999999999998</v>
      </c>
      <c r="K219" s="231">
        <f t="shared" si="162"/>
        <v>5.3247499999999999</v>
      </c>
      <c r="L219" s="231">
        <f>D219/K219</f>
        <v>0.18780224423681863</v>
      </c>
      <c r="M219" s="232">
        <f t="shared" si="158"/>
        <v>40</v>
      </c>
      <c r="N219" s="233">
        <f>D219*J219</f>
        <v>212.98999999999998</v>
      </c>
      <c r="O219" s="284">
        <f>N219+I219</f>
        <v>553.56511207999995</v>
      </c>
      <c r="P219" s="182">
        <f>O219/F219</f>
        <v>553.56511207999995</v>
      </c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  <c r="BH219" s="30"/>
      <c r="BI219" s="30"/>
      <c r="BJ219" s="30"/>
      <c r="BK219" s="30"/>
      <c r="BL219" s="30"/>
      <c r="BM219" s="30"/>
      <c r="BN219" s="30"/>
      <c r="BO219" s="30"/>
      <c r="BP219" s="30"/>
      <c r="BQ219" s="30"/>
      <c r="BR219" s="30"/>
      <c r="BS219" s="30"/>
      <c r="BT219" s="30"/>
      <c r="BU219" s="30"/>
      <c r="BV219" s="30"/>
      <c r="BW219" s="30"/>
      <c r="BX219" s="30"/>
    </row>
    <row r="220" spans="1:76" s="31" customFormat="1" ht="33.6">
      <c r="A220" s="307">
        <f>IF(H220&lt;&gt;"",1+MAX($A$8:A219),"")</f>
        <v>148</v>
      </c>
      <c r="B220" s="363"/>
      <c r="C220" s="268" t="s">
        <v>397</v>
      </c>
      <c r="D220" s="269">
        <v>2</v>
      </c>
      <c r="E220" s="270">
        <v>0</v>
      </c>
      <c r="F220" s="269">
        <f t="shared" si="160"/>
        <v>2</v>
      </c>
      <c r="G220" s="271" t="s">
        <v>52</v>
      </c>
      <c r="H220" s="288">
        <v>283.81259339999997</v>
      </c>
      <c r="I220" s="181">
        <f t="shared" si="161"/>
        <v>567.62518679999994</v>
      </c>
      <c r="J220" s="289">
        <v>177.5</v>
      </c>
      <c r="K220" s="231">
        <f t="shared" si="162"/>
        <v>8.875</v>
      </c>
      <c r="L220" s="231">
        <f>D220/K220</f>
        <v>0.22535211267605634</v>
      </c>
      <c r="M220" s="232">
        <f t="shared" si="158"/>
        <v>40</v>
      </c>
      <c r="N220" s="233">
        <f>D220*J220</f>
        <v>355</v>
      </c>
      <c r="O220" s="284">
        <f>N220+I220</f>
        <v>922.62518679999994</v>
      </c>
      <c r="P220" s="182">
        <f>O220/F220</f>
        <v>461.31259339999997</v>
      </c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  <c r="BH220" s="30"/>
      <c r="BI220" s="30"/>
      <c r="BJ220" s="30"/>
      <c r="BK220" s="30"/>
      <c r="BL220" s="30"/>
      <c r="BM220" s="30"/>
      <c r="BN220" s="30"/>
      <c r="BO220" s="30"/>
      <c r="BP220" s="30"/>
      <c r="BQ220" s="30"/>
      <c r="BR220" s="30"/>
      <c r="BS220" s="30"/>
      <c r="BT220" s="30"/>
      <c r="BU220" s="30"/>
      <c r="BV220" s="30"/>
      <c r="BW220" s="30"/>
      <c r="BX220" s="30"/>
    </row>
    <row r="221" spans="1:76" s="31" customFormat="1" ht="16.8">
      <c r="A221" s="21" t="str">
        <f>IF(H221&lt;&gt;"",1+MAX($A$8:A220),"")</f>
        <v/>
      </c>
      <c r="B221" s="407" t="s">
        <v>381</v>
      </c>
      <c r="C221" s="179" t="s">
        <v>378</v>
      </c>
      <c r="D221" s="234"/>
      <c r="E221" s="235"/>
      <c r="F221" s="234"/>
      <c r="G221" s="180"/>
      <c r="H221" s="283"/>
      <c r="I221" s="181"/>
      <c r="J221" s="283"/>
      <c r="K221" s="181"/>
      <c r="L221" s="231"/>
      <c r="M221" s="232"/>
      <c r="N221" s="233"/>
      <c r="O221" s="284"/>
      <c r="P221" s="182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  <c r="BH221" s="30"/>
      <c r="BI221" s="30"/>
      <c r="BJ221" s="30"/>
      <c r="BK221" s="30"/>
      <c r="BL221" s="30"/>
      <c r="BM221" s="30"/>
      <c r="BN221" s="30"/>
      <c r="BO221" s="30"/>
      <c r="BP221" s="30"/>
      <c r="BQ221" s="30"/>
      <c r="BR221" s="30"/>
      <c r="BS221" s="30"/>
      <c r="BT221" s="30"/>
      <c r="BU221" s="30"/>
      <c r="BV221" s="30"/>
      <c r="BW221" s="30"/>
      <c r="BX221" s="30"/>
    </row>
    <row r="222" spans="1:76" s="31" customFormat="1" ht="16.8">
      <c r="A222" s="307">
        <f>IF(H222&lt;&gt;"",1+MAX($A$8:A221),"")</f>
        <v>149</v>
      </c>
      <c r="B222" s="408"/>
      <c r="C222" s="268" t="s">
        <v>379</v>
      </c>
      <c r="D222" s="269">
        <v>2</v>
      </c>
      <c r="E222" s="270">
        <v>0</v>
      </c>
      <c r="F222" s="269">
        <f t="shared" ref="F222" si="163">(1+E222)*D222</f>
        <v>2</v>
      </c>
      <c r="G222" s="271" t="s">
        <v>52</v>
      </c>
      <c r="H222" s="288">
        <v>73.0551928</v>
      </c>
      <c r="I222" s="181">
        <f t="shared" ref="I222:I223" si="164">H222*F222</f>
        <v>146.1103856</v>
      </c>
      <c r="J222" s="289">
        <v>52.22</v>
      </c>
      <c r="K222" s="231">
        <f t="shared" ref="K222" si="165">N222/M222</f>
        <v>2.6109999999999998</v>
      </c>
      <c r="L222" s="231">
        <f>D222/K222</f>
        <v>0.76599004212945243</v>
      </c>
      <c r="M222" s="232">
        <f t="shared" si="158"/>
        <v>40</v>
      </c>
      <c r="N222" s="233">
        <f>D222*J222</f>
        <v>104.44</v>
      </c>
      <c r="O222" s="284">
        <f>N222+I222</f>
        <v>250.5503856</v>
      </c>
      <c r="P222" s="182">
        <f>O222/F222</f>
        <v>125.2751928</v>
      </c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  <c r="BH222" s="30"/>
      <c r="BI222" s="30"/>
      <c r="BJ222" s="30"/>
      <c r="BK222" s="30"/>
      <c r="BL222" s="30"/>
      <c r="BM222" s="30"/>
      <c r="BN222" s="30"/>
      <c r="BO222" s="30"/>
      <c r="BP222" s="30"/>
      <c r="BQ222" s="30"/>
      <c r="BR222" s="30"/>
      <c r="BS222" s="30"/>
      <c r="BT222" s="30"/>
      <c r="BU222" s="30"/>
      <c r="BV222" s="30"/>
      <c r="BW222" s="30"/>
      <c r="BX222" s="30"/>
    </row>
    <row r="223" spans="1:76" s="31" customFormat="1" ht="16.8">
      <c r="A223" s="307">
        <f>IF(H223&lt;&gt;"",1+MAX($A$8:A222),"")</f>
        <v>150</v>
      </c>
      <c r="B223" s="409"/>
      <c r="C223" s="268" t="s">
        <v>380</v>
      </c>
      <c r="D223" s="269">
        <v>1</v>
      </c>
      <c r="E223" s="270">
        <v>0</v>
      </c>
      <c r="F223" s="269">
        <f t="shared" ref="F223" si="166">(1+E223)*D223</f>
        <v>1</v>
      </c>
      <c r="G223" s="271" t="s">
        <v>52</v>
      </c>
      <c r="H223" s="288">
        <v>122.71711103999999</v>
      </c>
      <c r="I223" s="181">
        <f t="shared" si="164"/>
        <v>122.71711103999999</v>
      </c>
      <c r="J223" s="289">
        <v>87.710000000000008</v>
      </c>
      <c r="K223" s="231">
        <f t="shared" ref="K223" si="167">N223/M223</f>
        <v>2.1927500000000002</v>
      </c>
      <c r="L223" s="231">
        <f>D223/K223</f>
        <v>0.4560483411241591</v>
      </c>
      <c r="M223" s="232">
        <f t="shared" si="158"/>
        <v>40</v>
      </c>
      <c r="N223" s="233">
        <f>D223*J223</f>
        <v>87.710000000000008</v>
      </c>
      <c r="O223" s="284">
        <f>N223+I223</f>
        <v>210.42711104</v>
      </c>
      <c r="P223" s="182">
        <f>O223/F223</f>
        <v>210.42711104</v>
      </c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  <c r="BH223" s="30"/>
      <c r="BI223" s="30"/>
      <c r="BJ223" s="30"/>
      <c r="BK223" s="30"/>
      <c r="BL223" s="30"/>
      <c r="BM223" s="30"/>
      <c r="BN223" s="30"/>
      <c r="BO223" s="30"/>
      <c r="BP223" s="30"/>
      <c r="BQ223" s="30"/>
      <c r="BR223" s="30"/>
      <c r="BS223" s="30"/>
      <c r="BT223" s="30"/>
      <c r="BU223" s="30"/>
      <c r="BV223" s="30"/>
      <c r="BW223" s="30"/>
      <c r="BX223" s="30"/>
    </row>
    <row r="224" spans="1:76" s="31" customFormat="1" ht="16.8">
      <c r="A224" s="21" t="str">
        <f>IF(H224&lt;&gt;"",1+MAX($A$8:A223),"")</f>
        <v/>
      </c>
      <c r="B224" s="361" t="s">
        <v>319</v>
      </c>
      <c r="C224" s="179" t="s">
        <v>61</v>
      </c>
      <c r="D224" s="234"/>
      <c r="E224" s="235"/>
      <c r="F224" s="234"/>
      <c r="G224" s="180"/>
      <c r="H224" s="283"/>
      <c r="I224" s="181"/>
      <c r="J224" s="283"/>
      <c r="K224" s="181"/>
      <c r="L224" s="231"/>
      <c r="M224" s="232"/>
      <c r="N224" s="233"/>
      <c r="O224" s="284"/>
      <c r="P224" s="182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  <c r="BH224" s="30"/>
      <c r="BI224" s="30"/>
      <c r="BJ224" s="30"/>
      <c r="BK224" s="30"/>
      <c r="BL224" s="30"/>
      <c r="BM224" s="30"/>
      <c r="BN224" s="30"/>
      <c r="BO224" s="30"/>
      <c r="BP224" s="30"/>
      <c r="BQ224" s="30"/>
      <c r="BR224" s="30"/>
      <c r="BS224" s="30"/>
      <c r="BT224" s="30"/>
      <c r="BU224" s="30"/>
      <c r="BV224" s="30"/>
      <c r="BW224" s="30"/>
      <c r="BX224" s="30"/>
    </row>
    <row r="225" spans="1:76" s="31" customFormat="1" ht="33.6">
      <c r="A225" s="307">
        <f>IF(H225&lt;&gt;"",1+MAX($A$8:A224),"")</f>
        <v>151</v>
      </c>
      <c r="B225" s="363"/>
      <c r="C225" s="300" t="s">
        <v>323</v>
      </c>
      <c r="D225" s="272">
        <v>1</v>
      </c>
      <c r="E225" s="235">
        <v>0</v>
      </c>
      <c r="F225" s="234">
        <f t="shared" ref="F225" si="168">(1+E225)*D225</f>
        <v>1</v>
      </c>
      <c r="G225" s="180" t="s">
        <v>62</v>
      </c>
      <c r="H225" s="288">
        <v>2602.1440000000002</v>
      </c>
      <c r="I225" s="181">
        <f>H225*F225</f>
        <v>2602.1440000000002</v>
      </c>
      <c r="J225" s="289">
        <v>1859.81</v>
      </c>
      <c r="K225" s="231">
        <f t="shared" ref="K225" si="169">N225/M225</f>
        <v>46.495249999999999</v>
      </c>
      <c r="L225" s="231">
        <f>D225/K225</f>
        <v>2.1507573354267371E-2</v>
      </c>
      <c r="M225" s="232">
        <f t="shared" si="158"/>
        <v>40</v>
      </c>
      <c r="N225" s="233">
        <f>D225*J225</f>
        <v>1859.81</v>
      </c>
      <c r="O225" s="284">
        <f>N225+I225</f>
        <v>4461.9539999999997</v>
      </c>
      <c r="P225" s="182">
        <f>O225/F225</f>
        <v>4461.9539999999997</v>
      </c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  <c r="BH225" s="30"/>
      <c r="BI225" s="30"/>
      <c r="BJ225" s="30"/>
      <c r="BK225" s="30"/>
      <c r="BL225" s="30"/>
      <c r="BM225" s="30"/>
      <c r="BN225" s="30"/>
      <c r="BO225" s="30"/>
      <c r="BP225" s="30"/>
      <c r="BQ225" s="30"/>
      <c r="BR225" s="30"/>
      <c r="BS225" s="30"/>
      <c r="BT225" s="30"/>
      <c r="BU225" s="30"/>
      <c r="BV225" s="30"/>
      <c r="BW225" s="30"/>
      <c r="BX225" s="30"/>
    </row>
    <row r="226" spans="1:76" s="31" customFormat="1" ht="16.8">
      <c r="A226" s="21" t="str">
        <f>IF(H226&lt;&gt;"",1+MAX($A$8:A225),"")</f>
        <v/>
      </c>
      <c r="B226" s="267"/>
      <c r="C226" s="236"/>
      <c r="D226" s="234"/>
      <c r="E226" s="235"/>
      <c r="F226" s="234"/>
      <c r="G226" s="180"/>
      <c r="H226" s="283"/>
      <c r="I226" s="181"/>
      <c r="J226" s="283"/>
      <c r="K226" s="181"/>
      <c r="L226" s="231"/>
      <c r="M226" s="232"/>
      <c r="N226" s="233"/>
      <c r="O226" s="284"/>
      <c r="P226" s="182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  <c r="BH226" s="30"/>
      <c r="BI226" s="30"/>
      <c r="BJ226" s="30"/>
      <c r="BK226" s="30"/>
      <c r="BL226" s="30"/>
      <c r="BM226" s="30"/>
      <c r="BN226" s="30"/>
      <c r="BO226" s="30"/>
      <c r="BP226" s="30"/>
      <c r="BQ226" s="30"/>
      <c r="BR226" s="30"/>
      <c r="BS226" s="30"/>
      <c r="BT226" s="30"/>
      <c r="BU226" s="30"/>
      <c r="BV226" s="30"/>
      <c r="BW226" s="30"/>
      <c r="BX226" s="30"/>
    </row>
    <row r="227" spans="1:76" s="33" customFormat="1" ht="19.2">
      <c r="A227" s="263" t="str">
        <f>IF(H227&lt;&gt;"",1+MAX($A$8:A226),"")</f>
        <v/>
      </c>
      <c r="B227" s="359" t="s">
        <v>63</v>
      </c>
      <c r="C227" s="360"/>
      <c r="D227" s="360"/>
      <c r="E227" s="360"/>
      <c r="F227" s="360"/>
      <c r="G227" s="360"/>
      <c r="H227" s="360"/>
      <c r="I227" s="360"/>
      <c r="J227" s="360"/>
      <c r="K227" s="360"/>
      <c r="L227" s="360"/>
      <c r="M227" s="261">
        <v>40</v>
      </c>
      <c r="N227" s="262"/>
      <c r="O227" s="282">
        <f>SUM(O228:O291)</f>
        <v>44881.42548184091</v>
      </c>
      <c r="P227" s="263"/>
      <c r="Q227" s="30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  <c r="AW227" s="32"/>
      <c r="AX227" s="32"/>
      <c r="AY227" s="32"/>
      <c r="AZ227" s="32"/>
      <c r="BA227" s="32"/>
      <c r="BB227" s="32"/>
      <c r="BC227" s="32"/>
      <c r="BD227" s="32"/>
      <c r="BE227" s="32"/>
      <c r="BF227" s="32"/>
      <c r="BG227" s="32"/>
      <c r="BH227" s="32"/>
      <c r="BI227" s="32"/>
      <c r="BJ227" s="32"/>
      <c r="BK227" s="32"/>
      <c r="BL227" s="32"/>
      <c r="BM227" s="32"/>
      <c r="BN227" s="32"/>
      <c r="BO227" s="32"/>
      <c r="BP227" s="32"/>
      <c r="BQ227" s="32"/>
    </row>
    <row r="228" spans="1:76" s="31" customFormat="1" ht="16.8">
      <c r="A228" s="21" t="str">
        <f>IF(H228&lt;&gt;"",1+MAX($A$8:A227),"")</f>
        <v/>
      </c>
      <c r="B228" s="38"/>
      <c r="C228" s="42"/>
      <c r="D228" s="25"/>
      <c r="E228" s="24"/>
      <c r="F228" s="25"/>
      <c r="G228" s="158"/>
      <c r="H228" s="319"/>
      <c r="I228" s="27"/>
      <c r="J228" s="139"/>
      <c r="K228" s="135"/>
      <c r="L228" s="164"/>
      <c r="M228" s="165"/>
      <c r="N228" s="166"/>
      <c r="O228" s="331"/>
      <c r="P228" s="167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  <c r="BH228" s="30"/>
      <c r="BI228" s="30"/>
      <c r="BJ228" s="30"/>
      <c r="BK228" s="30"/>
      <c r="BL228" s="30"/>
      <c r="BM228" s="30"/>
      <c r="BN228" s="30"/>
      <c r="BO228" s="30"/>
      <c r="BP228" s="30"/>
      <c r="BQ228" s="30"/>
      <c r="BR228" s="30"/>
      <c r="BS228" s="30"/>
      <c r="BT228" s="30"/>
      <c r="BU228" s="30"/>
      <c r="BV228" s="30"/>
      <c r="BW228" s="30"/>
      <c r="BX228" s="30"/>
    </row>
    <row r="229" spans="1:76" s="31" customFormat="1" ht="16.05" customHeight="1">
      <c r="A229" s="21" t="str">
        <f>IF(H229&lt;&gt;"",1+MAX($A$8:A228),"")</f>
        <v/>
      </c>
      <c r="B229" s="361" t="s">
        <v>294</v>
      </c>
      <c r="C229" s="179" t="s">
        <v>64</v>
      </c>
      <c r="D229" s="272"/>
      <c r="E229" s="230"/>
      <c r="F229" s="230"/>
      <c r="G229" s="180"/>
      <c r="H229" s="283"/>
      <c r="I229" s="181"/>
      <c r="J229" s="283"/>
      <c r="K229" s="181"/>
      <c r="L229" s="231"/>
      <c r="M229" s="232"/>
      <c r="N229" s="233"/>
      <c r="O229" s="284"/>
      <c r="P229" s="182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  <c r="BH229" s="30"/>
      <c r="BI229" s="30"/>
      <c r="BJ229" s="30"/>
      <c r="BK229" s="30"/>
      <c r="BL229" s="30"/>
      <c r="BM229" s="30"/>
      <c r="BN229" s="30"/>
      <c r="BO229" s="30"/>
      <c r="BP229" s="30"/>
      <c r="BQ229" s="30"/>
      <c r="BR229" s="30"/>
      <c r="BS229" s="30"/>
      <c r="BT229" s="30"/>
      <c r="BU229" s="30"/>
      <c r="BV229" s="30"/>
      <c r="BW229" s="30"/>
      <c r="BX229" s="30"/>
    </row>
    <row r="230" spans="1:76" s="31" customFormat="1" ht="16.8">
      <c r="A230" s="21">
        <f>IF(H230&lt;&gt;"",1+MAX($A$8:A229),"")</f>
        <v>152</v>
      </c>
      <c r="B230" s="362"/>
      <c r="C230" s="300" t="s">
        <v>324</v>
      </c>
      <c r="D230" s="272">
        <v>1184.5999999999999</v>
      </c>
      <c r="E230" s="235">
        <v>0.05</v>
      </c>
      <c r="F230" s="234">
        <f t="shared" ref="F230:F231" si="170">(1+E230)*D230</f>
        <v>1243.83</v>
      </c>
      <c r="G230" s="180" t="s">
        <v>50</v>
      </c>
      <c r="H230" s="288">
        <v>3.1030567199999997</v>
      </c>
      <c r="I230" s="181">
        <f t="shared" ref="I230:I231" si="171">H230*F230</f>
        <v>3859.6750400375995</v>
      </c>
      <c r="J230" s="289">
        <v>2.9099999999999997</v>
      </c>
      <c r="K230" s="231">
        <f t="shared" ref="K230:K231" si="172">N230/M230</f>
        <v>86.179649999999981</v>
      </c>
      <c r="L230" s="231">
        <f>D230/K230</f>
        <v>13.745704467353955</v>
      </c>
      <c r="M230" s="232">
        <f>$M$227</f>
        <v>40</v>
      </c>
      <c r="N230" s="233">
        <f>D230*J230</f>
        <v>3447.1859999999992</v>
      </c>
      <c r="O230" s="284">
        <f>N230+I230</f>
        <v>7306.8610400375983</v>
      </c>
      <c r="P230" s="182">
        <f>O230/F230</f>
        <v>5.8744852914285701</v>
      </c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  <c r="BH230" s="30"/>
      <c r="BI230" s="30"/>
      <c r="BJ230" s="30"/>
      <c r="BK230" s="30"/>
      <c r="BL230" s="30"/>
      <c r="BM230" s="30"/>
      <c r="BN230" s="30"/>
      <c r="BO230" s="30"/>
      <c r="BP230" s="30"/>
      <c r="BQ230" s="30"/>
      <c r="BR230" s="30"/>
      <c r="BS230" s="30"/>
      <c r="BT230" s="30"/>
      <c r="BU230" s="30"/>
      <c r="BV230" s="30"/>
      <c r="BW230" s="30"/>
      <c r="BX230" s="30"/>
    </row>
    <row r="231" spans="1:76" s="31" customFormat="1" ht="16.8">
      <c r="A231" s="21">
        <f>IF(H231&lt;&gt;"",1+MAX($A$8:A230),"")</f>
        <v>153</v>
      </c>
      <c r="B231" s="363"/>
      <c r="C231" s="300" t="s">
        <v>325</v>
      </c>
      <c r="D231" s="272">
        <v>130.38999999999999</v>
      </c>
      <c r="E231" s="235">
        <v>0.05</v>
      </c>
      <c r="F231" s="234">
        <f t="shared" si="170"/>
        <v>136.90949999999998</v>
      </c>
      <c r="G231" s="180" t="s">
        <v>50</v>
      </c>
      <c r="H231" s="288">
        <v>3.3762818400000003</v>
      </c>
      <c r="I231" s="181">
        <f t="shared" si="171"/>
        <v>462.24505857347998</v>
      </c>
      <c r="J231" s="289">
        <v>4.3599999999999994</v>
      </c>
      <c r="K231" s="231">
        <f t="shared" si="172"/>
        <v>14.212509999999998</v>
      </c>
      <c r="L231" s="231">
        <f>D231/K231</f>
        <v>9.1743119266055047</v>
      </c>
      <c r="M231" s="232">
        <f>$M$227</f>
        <v>40</v>
      </c>
      <c r="N231" s="233">
        <f>D231*J231</f>
        <v>568.5003999999999</v>
      </c>
      <c r="O231" s="284">
        <f>N231+I231</f>
        <v>1030.7454585734799</v>
      </c>
      <c r="P231" s="182">
        <f>O231/F231</f>
        <v>7.5286627923809526</v>
      </c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  <c r="BH231" s="30"/>
      <c r="BI231" s="30"/>
      <c r="BJ231" s="30"/>
      <c r="BK231" s="30"/>
      <c r="BL231" s="30"/>
      <c r="BM231" s="30"/>
      <c r="BN231" s="30"/>
      <c r="BO231" s="30"/>
      <c r="BP231" s="30"/>
      <c r="BQ231" s="30"/>
      <c r="BR231" s="30"/>
      <c r="BS231" s="30"/>
      <c r="BT231" s="30"/>
      <c r="BU231" s="30"/>
      <c r="BV231" s="30"/>
      <c r="BW231" s="30"/>
      <c r="BX231" s="30"/>
    </row>
    <row r="232" spans="1:76" s="31" customFormat="1" ht="16.8">
      <c r="A232" s="21" t="str">
        <f>IF(H232&lt;&gt;"",1+MAX($A$8:A231),"")</f>
        <v/>
      </c>
      <c r="B232" s="361" t="s">
        <v>294</v>
      </c>
      <c r="C232" s="179" t="s">
        <v>65</v>
      </c>
      <c r="D232" s="272"/>
      <c r="E232" s="230"/>
      <c r="F232" s="230"/>
      <c r="G232" s="180"/>
      <c r="H232" s="283"/>
      <c r="I232" s="181"/>
      <c r="J232" s="283"/>
      <c r="K232" s="181"/>
      <c r="L232" s="231"/>
      <c r="M232" s="232"/>
      <c r="N232" s="233"/>
      <c r="O232" s="284"/>
      <c r="P232" s="182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  <c r="BH232" s="30"/>
      <c r="BI232" s="30"/>
      <c r="BJ232" s="30"/>
      <c r="BK232" s="30"/>
      <c r="BL232" s="30"/>
      <c r="BM232" s="30"/>
      <c r="BN232" s="30"/>
      <c r="BO232" s="30"/>
      <c r="BP232" s="30"/>
      <c r="BQ232" s="30"/>
      <c r="BR232" s="30"/>
      <c r="BS232" s="30"/>
      <c r="BT232" s="30"/>
      <c r="BU232" s="30"/>
      <c r="BV232" s="30"/>
      <c r="BW232" s="30"/>
      <c r="BX232" s="30"/>
    </row>
    <row r="233" spans="1:76" s="31" customFormat="1" ht="16.8">
      <c r="A233" s="21">
        <f>IF(H233&lt;&gt;"",1+MAX($A$8:A232),"")</f>
        <v>154</v>
      </c>
      <c r="B233" s="362"/>
      <c r="C233" s="300" t="s">
        <v>326</v>
      </c>
      <c r="D233" s="272">
        <v>367.35</v>
      </c>
      <c r="E233" s="235">
        <v>0.05</v>
      </c>
      <c r="F233" s="234">
        <f t="shared" ref="F233:F234" si="173">(1+E233)*D233</f>
        <v>385.71750000000003</v>
      </c>
      <c r="G233" s="180" t="s">
        <v>51</v>
      </c>
      <c r="H233" s="288">
        <v>1.4572006400000002</v>
      </c>
      <c r="I233" s="181">
        <f t="shared" ref="I233:I234" si="174">H233*F233</f>
        <v>562.06778785920005</v>
      </c>
      <c r="J233" s="289">
        <v>1.86</v>
      </c>
      <c r="K233" s="231">
        <f t="shared" ref="K233:K234" si="175">N233/M233</f>
        <v>17.081775</v>
      </c>
      <c r="L233" s="231">
        <f>D233/K233</f>
        <v>21.505376344086024</v>
      </c>
      <c r="M233" s="232">
        <f t="shared" ref="M233:M234" si="176">$M$227</f>
        <v>40</v>
      </c>
      <c r="N233" s="233">
        <f>D233*J233</f>
        <v>683.27100000000007</v>
      </c>
      <c r="O233" s="284">
        <f>N233+I233</f>
        <v>1245.3387878592002</v>
      </c>
      <c r="P233" s="182">
        <f>O233/F233</f>
        <v>3.2286292114285717</v>
      </c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  <c r="BH233" s="30"/>
      <c r="BI233" s="30"/>
      <c r="BJ233" s="30"/>
      <c r="BK233" s="30"/>
      <c r="BL233" s="30"/>
      <c r="BM233" s="30"/>
      <c r="BN233" s="30"/>
      <c r="BO233" s="30"/>
      <c r="BP233" s="30"/>
      <c r="BQ233" s="30"/>
      <c r="BR233" s="30"/>
      <c r="BS233" s="30"/>
      <c r="BT233" s="30"/>
      <c r="BU233" s="30"/>
      <c r="BV233" s="30"/>
      <c r="BW233" s="30"/>
      <c r="BX233" s="30"/>
    </row>
    <row r="234" spans="1:76" s="31" customFormat="1" ht="16.8">
      <c r="A234" s="21">
        <f>IF(H234&lt;&gt;"",1+MAX($A$8:A233),"")</f>
        <v>155</v>
      </c>
      <c r="B234" s="362"/>
      <c r="C234" s="236" t="s">
        <v>327</v>
      </c>
      <c r="D234" s="234">
        <v>468</v>
      </c>
      <c r="E234" s="235">
        <v>0.05</v>
      </c>
      <c r="F234" s="234">
        <f t="shared" si="173"/>
        <v>491.40000000000003</v>
      </c>
      <c r="G234" s="180" t="s">
        <v>51</v>
      </c>
      <c r="H234" s="288">
        <v>1.2490291199999999</v>
      </c>
      <c r="I234" s="181">
        <f t="shared" si="174"/>
        <v>613.77290956799993</v>
      </c>
      <c r="J234" s="289">
        <v>1.92</v>
      </c>
      <c r="K234" s="231">
        <f t="shared" si="175"/>
        <v>22.463999999999999</v>
      </c>
      <c r="L234" s="231">
        <f>D234/K234</f>
        <v>20.833333333333336</v>
      </c>
      <c r="M234" s="232">
        <f t="shared" si="176"/>
        <v>40</v>
      </c>
      <c r="N234" s="233">
        <f>D234*J234</f>
        <v>898.56</v>
      </c>
      <c r="O234" s="284">
        <f>N234+I234</f>
        <v>1512.3329095679999</v>
      </c>
      <c r="P234" s="182">
        <f>O234/F234</f>
        <v>3.0776005485714282</v>
      </c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  <c r="BH234" s="30"/>
      <c r="BI234" s="30"/>
      <c r="BJ234" s="30"/>
      <c r="BK234" s="30"/>
      <c r="BL234" s="30"/>
      <c r="BM234" s="30"/>
      <c r="BN234" s="30"/>
      <c r="BO234" s="30"/>
      <c r="BP234" s="30"/>
      <c r="BQ234" s="30"/>
      <c r="BR234" s="30"/>
      <c r="BS234" s="30"/>
      <c r="BT234" s="30"/>
      <c r="BU234" s="30"/>
      <c r="BV234" s="30"/>
      <c r="BW234" s="30"/>
      <c r="BX234" s="30"/>
    </row>
    <row r="235" spans="1:76" s="31" customFormat="1" ht="15.6" customHeight="1">
      <c r="A235" s="21" t="str">
        <f>IF(H235&lt;&gt;"",1+MAX($A$8:A234),"")</f>
        <v/>
      </c>
      <c r="B235" s="361" t="s">
        <v>199</v>
      </c>
      <c r="C235" s="20" t="s">
        <v>81</v>
      </c>
      <c r="D235" s="25"/>
      <c r="E235" s="24"/>
      <c r="F235" s="25"/>
      <c r="G235" s="158"/>
      <c r="H235" s="319"/>
      <c r="I235" s="27"/>
      <c r="J235" s="139"/>
      <c r="K235" s="135"/>
      <c r="L235" s="164"/>
      <c r="M235" s="165"/>
      <c r="N235" s="166"/>
      <c r="O235" s="331"/>
      <c r="P235" s="167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  <c r="BH235" s="30"/>
      <c r="BI235" s="30"/>
      <c r="BJ235" s="30"/>
      <c r="BK235" s="30"/>
      <c r="BL235" s="30"/>
      <c r="BM235" s="30"/>
      <c r="BN235" s="30"/>
      <c r="BO235" s="30"/>
      <c r="BP235" s="30"/>
      <c r="BQ235" s="30"/>
      <c r="BR235" s="30"/>
      <c r="BS235" s="30"/>
      <c r="BT235" s="30"/>
      <c r="BU235" s="30"/>
      <c r="BV235" s="30"/>
      <c r="BW235" s="30"/>
      <c r="BX235" s="30"/>
    </row>
    <row r="236" spans="1:76" s="31" customFormat="1" ht="16.8">
      <c r="A236" s="21">
        <f>IF(H236&lt;&gt;"",1+MAX($A$8:A235),"")</f>
        <v>156</v>
      </c>
      <c r="B236" s="362"/>
      <c r="C236" s="236" t="s">
        <v>184</v>
      </c>
      <c r="D236" s="234">
        <f>3344.42-625.9</f>
        <v>2718.52</v>
      </c>
      <c r="E236" s="235">
        <v>0.05</v>
      </c>
      <c r="F236" s="234">
        <f t="shared" ref="F236" si="177">(1+E236)*D236</f>
        <v>2854.4459999999999</v>
      </c>
      <c r="G236" s="230" t="s">
        <v>50</v>
      </c>
      <c r="H236" s="288">
        <v>0.35779480000000002</v>
      </c>
      <c r="I236" s="181">
        <f>H236*F236</f>
        <v>1021.3059356808001</v>
      </c>
      <c r="J236" s="289">
        <v>0.99</v>
      </c>
      <c r="K236" s="164">
        <f t="shared" ref="K236" si="178">N236/M236</f>
        <v>67.283370000000005</v>
      </c>
      <c r="L236" s="164">
        <f>D236/K236</f>
        <v>40.404040404040401</v>
      </c>
      <c r="M236" s="165">
        <f>M$227</f>
        <v>40</v>
      </c>
      <c r="N236" s="166">
        <f>D236*J236</f>
        <v>2691.3348000000001</v>
      </c>
      <c r="O236" s="331">
        <f>N236+I236</f>
        <v>3712.6407356808004</v>
      </c>
      <c r="P236" s="167">
        <f>O236/F236</f>
        <v>1.300651942857143</v>
      </c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  <c r="BH236" s="30"/>
      <c r="BI236" s="30"/>
      <c r="BJ236" s="30"/>
      <c r="BK236" s="30"/>
      <c r="BL236" s="30"/>
      <c r="BM236" s="30"/>
      <c r="BN236" s="30"/>
      <c r="BO236" s="30"/>
      <c r="BP236" s="30"/>
      <c r="BQ236" s="30"/>
      <c r="BR236" s="30"/>
      <c r="BS236" s="30"/>
      <c r="BT236" s="30"/>
      <c r="BU236" s="30"/>
      <c r="BV236" s="30"/>
      <c r="BW236" s="30"/>
      <c r="BX236" s="30"/>
    </row>
    <row r="237" spans="1:76" s="31" customFormat="1" ht="16.8">
      <c r="A237" s="265" t="str">
        <f>IF(H237&lt;&gt;"",1+MAX($A$8:A236),"")</f>
        <v/>
      </c>
      <c r="B237" s="362"/>
      <c r="C237" s="237" t="s">
        <v>142</v>
      </c>
      <c r="D237" s="401"/>
      <c r="E237" s="402"/>
      <c r="F237" s="234">
        <f>ROUNDUP(F236/32,0)</f>
        <v>90</v>
      </c>
      <c r="G237" s="230" t="s">
        <v>143</v>
      </c>
      <c r="H237" s="288"/>
      <c r="I237" s="181"/>
      <c r="J237" s="289"/>
      <c r="K237" s="231"/>
      <c r="L237" s="231"/>
      <c r="M237" s="232"/>
      <c r="N237" s="233"/>
      <c r="O237" s="284"/>
      <c r="P237" s="182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  <c r="BH237" s="30"/>
      <c r="BI237" s="30"/>
      <c r="BJ237" s="30"/>
      <c r="BK237" s="30"/>
      <c r="BL237" s="30"/>
      <c r="BM237" s="30"/>
      <c r="BN237" s="30"/>
      <c r="BO237" s="30"/>
      <c r="BP237" s="30"/>
      <c r="BQ237" s="30"/>
      <c r="BR237" s="30"/>
      <c r="BS237" s="30"/>
      <c r="BT237" s="30"/>
      <c r="BU237" s="30"/>
      <c r="BV237" s="30"/>
      <c r="BW237" s="30"/>
      <c r="BX237" s="30"/>
    </row>
    <row r="238" spans="1:76" s="31" customFormat="1" ht="16.8">
      <c r="A238" s="265" t="str">
        <f>IF(H238&lt;&gt;"",1+MAX($A$8:A237),"")</f>
        <v/>
      </c>
      <c r="B238" s="362"/>
      <c r="C238" s="237" t="s">
        <v>144</v>
      </c>
      <c r="D238" s="403"/>
      <c r="E238" s="404"/>
      <c r="F238" s="234">
        <f>ROUNDUP(F237*24/500,0)</f>
        <v>5</v>
      </c>
      <c r="G238" s="230" t="s">
        <v>145</v>
      </c>
      <c r="H238" s="288"/>
      <c r="I238" s="181"/>
      <c r="J238" s="289"/>
      <c r="K238" s="231"/>
      <c r="L238" s="231"/>
      <c r="M238" s="232"/>
      <c r="N238" s="233"/>
      <c r="O238" s="284"/>
      <c r="P238" s="182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  <c r="BH238" s="30"/>
      <c r="BI238" s="30"/>
      <c r="BJ238" s="30"/>
      <c r="BK238" s="30"/>
      <c r="BL238" s="30"/>
      <c r="BM238" s="30"/>
      <c r="BN238" s="30"/>
      <c r="BO238" s="30"/>
      <c r="BP238" s="30"/>
      <c r="BQ238" s="30"/>
      <c r="BR238" s="30"/>
      <c r="BS238" s="30"/>
      <c r="BT238" s="30"/>
      <c r="BU238" s="30"/>
      <c r="BV238" s="30"/>
      <c r="BW238" s="30"/>
      <c r="BX238" s="30"/>
    </row>
    <row r="239" spans="1:76" s="31" customFormat="1" ht="16.8">
      <c r="A239" s="265" t="str">
        <f>IF(H239&lt;&gt;"",1+MAX($A$8:A238),"")</f>
        <v/>
      </c>
      <c r="B239" s="362"/>
      <c r="C239" s="237" t="s">
        <v>146</v>
      </c>
      <c r="D239" s="403"/>
      <c r="E239" s="404"/>
      <c r="F239" s="234">
        <f>ROUNDUP(F236/200,0)</f>
        <v>15</v>
      </c>
      <c r="G239" s="230" t="s">
        <v>147</v>
      </c>
      <c r="H239" s="288"/>
      <c r="I239" s="181"/>
      <c r="J239" s="289"/>
      <c r="K239" s="231"/>
      <c r="L239" s="231"/>
      <c r="M239" s="232"/>
      <c r="N239" s="233"/>
      <c r="O239" s="284"/>
      <c r="P239" s="182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  <c r="BH239" s="30"/>
      <c r="BI239" s="30"/>
      <c r="BJ239" s="30"/>
      <c r="BK239" s="30"/>
      <c r="BL239" s="30"/>
      <c r="BM239" s="30"/>
      <c r="BN239" s="30"/>
      <c r="BO239" s="30"/>
      <c r="BP239" s="30"/>
      <c r="BQ239" s="30"/>
      <c r="BR239" s="30"/>
      <c r="BS239" s="30"/>
      <c r="BT239" s="30"/>
      <c r="BU239" s="30"/>
      <c r="BV239" s="30"/>
      <c r="BW239" s="30"/>
      <c r="BX239" s="30"/>
    </row>
    <row r="240" spans="1:76" s="31" customFormat="1" ht="16.8">
      <c r="A240" s="265" t="str">
        <f>IF(H240&lt;&gt;"",1+MAX($A$8:A239),"")</f>
        <v/>
      </c>
      <c r="B240" s="362"/>
      <c r="C240" s="238" t="s">
        <v>148</v>
      </c>
      <c r="D240" s="405"/>
      <c r="E240" s="406"/>
      <c r="F240" s="234">
        <f>ROUNDUP(F236*5.25/1000,0)</f>
        <v>15</v>
      </c>
      <c r="G240" s="230" t="s">
        <v>152</v>
      </c>
      <c r="H240" s="288"/>
      <c r="I240" s="181"/>
      <c r="J240" s="289"/>
      <c r="K240" s="231"/>
      <c r="L240" s="231"/>
      <c r="M240" s="232"/>
      <c r="N240" s="233"/>
      <c r="O240" s="284"/>
      <c r="P240" s="182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  <c r="BH240" s="30"/>
      <c r="BI240" s="30"/>
      <c r="BJ240" s="30"/>
      <c r="BK240" s="30"/>
      <c r="BL240" s="30"/>
      <c r="BM240" s="30"/>
      <c r="BN240" s="30"/>
      <c r="BO240" s="30"/>
      <c r="BP240" s="30"/>
      <c r="BQ240" s="30"/>
      <c r="BR240" s="30"/>
      <c r="BS240" s="30"/>
      <c r="BT240" s="30"/>
      <c r="BU240" s="30"/>
      <c r="BV240" s="30"/>
      <c r="BW240" s="30"/>
      <c r="BX240" s="30"/>
    </row>
    <row r="241" spans="1:76" s="31" customFormat="1" ht="16.8">
      <c r="A241" s="21">
        <f>IF(H241&lt;&gt;"",1+MAX($A$8:A240),"")</f>
        <v>157</v>
      </c>
      <c r="B241" s="362"/>
      <c r="C241" s="236" t="s">
        <v>185</v>
      </c>
      <c r="D241" s="234">
        <v>163.32</v>
      </c>
      <c r="E241" s="235">
        <v>0.05</v>
      </c>
      <c r="F241" s="234">
        <f t="shared" ref="F241" si="179">(1+E241)*D241</f>
        <v>171.48599999999999</v>
      </c>
      <c r="G241" s="230" t="s">
        <v>50</v>
      </c>
      <c r="H241" s="288">
        <v>0.42284840000000001</v>
      </c>
      <c r="I241" s="181">
        <f>H241*F241</f>
        <v>72.512580722400003</v>
      </c>
      <c r="J241" s="289">
        <v>0.99</v>
      </c>
      <c r="K241" s="164">
        <f t="shared" ref="K241" si="180">N241/M241</f>
        <v>4.0421700000000005</v>
      </c>
      <c r="L241" s="164">
        <f>D241/K241</f>
        <v>40.404040404040394</v>
      </c>
      <c r="M241" s="165">
        <f>M$227</f>
        <v>40</v>
      </c>
      <c r="N241" s="166">
        <f>D241*J241</f>
        <v>161.68680000000001</v>
      </c>
      <c r="O241" s="331">
        <f>N241+I241</f>
        <v>234.19938072240001</v>
      </c>
      <c r="P241" s="167">
        <f>O241/F241</f>
        <v>1.365705542857143</v>
      </c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  <c r="BH241" s="30"/>
      <c r="BI241" s="30"/>
      <c r="BJ241" s="30"/>
      <c r="BK241" s="30"/>
      <c r="BL241" s="30"/>
      <c r="BM241" s="30"/>
      <c r="BN241" s="30"/>
      <c r="BO241" s="30"/>
      <c r="BP241" s="30"/>
      <c r="BQ241" s="30"/>
      <c r="BR241" s="30"/>
      <c r="BS241" s="30"/>
      <c r="BT241" s="30"/>
      <c r="BU241" s="30"/>
      <c r="BV241" s="30"/>
      <c r="BW241" s="30"/>
      <c r="BX241" s="30"/>
    </row>
    <row r="242" spans="1:76" s="31" customFormat="1" ht="16.8">
      <c r="A242" s="265" t="str">
        <f>IF(H242&lt;&gt;"",1+MAX($A$8:A241),"")</f>
        <v/>
      </c>
      <c r="B242" s="362"/>
      <c r="C242" s="237" t="s">
        <v>142</v>
      </c>
      <c r="D242" s="401"/>
      <c r="E242" s="402"/>
      <c r="F242" s="234">
        <f>ROUNDUP(F241/32,0)</f>
        <v>6</v>
      </c>
      <c r="G242" s="230" t="s">
        <v>143</v>
      </c>
      <c r="H242" s="288"/>
      <c r="I242" s="181"/>
      <c r="J242" s="289"/>
      <c r="K242" s="231"/>
      <c r="L242" s="231"/>
      <c r="M242" s="232"/>
      <c r="N242" s="233"/>
      <c r="O242" s="284"/>
      <c r="P242" s="182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  <c r="BH242" s="30"/>
      <c r="BI242" s="30"/>
      <c r="BJ242" s="30"/>
      <c r="BK242" s="30"/>
      <c r="BL242" s="30"/>
      <c r="BM242" s="30"/>
      <c r="BN242" s="30"/>
      <c r="BO242" s="30"/>
      <c r="BP242" s="30"/>
      <c r="BQ242" s="30"/>
      <c r="BR242" s="30"/>
      <c r="BS242" s="30"/>
      <c r="BT242" s="30"/>
      <c r="BU242" s="30"/>
      <c r="BV242" s="30"/>
      <c r="BW242" s="30"/>
      <c r="BX242" s="30"/>
    </row>
    <row r="243" spans="1:76" s="31" customFormat="1" ht="16.8">
      <c r="A243" s="265" t="str">
        <f>IF(H243&lt;&gt;"",1+MAX($A$8:A242),"")</f>
        <v/>
      </c>
      <c r="B243" s="362"/>
      <c r="C243" s="237" t="s">
        <v>144</v>
      </c>
      <c r="D243" s="403"/>
      <c r="E243" s="404"/>
      <c r="F243" s="234">
        <f>ROUNDUP(F242*24/500,0)</f>
        <v>1</v>
      </c>
      <c r="G243" s="230" t="s">
        <v>145</v>
      </c>
      <c r="H243" s="288"/>
      <c r="I243" s="181"/>
      <c r="J243" s="289"/>
      <c r="K243" s="231"/>
      <c r="L243" s="231"/>
      <c r="M243" s="232"/>
      <c r="N243" s="233"/>
      <c r="O243" s="284"/>
      <c r="P243" s="182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  <c r="BH243" s="30"/>
      <c r="BI243" s="30"/>
      <c r="BJ243" s="30"/>
      <c r="BK243" s="30"/>
      <c r="BL243" s="30"/>
      <c r="BM243" s="30"/>
      <c r="BN243" s="30"/>
      <c r="BO243" s="30"/>
      <c r="BP243" s="30"/>
      <c r="BQ243" s="30"/>
      <c r="BR243" s="30"/>
      <c r="BS243" s="30"/>
      <c r="BT243" s="30"/>
      <c r="BU243" s="30"/>
      <c r="BV243" s="30"/>
      <c r="BW243" s="30"/>
      <c r="BX243" s="30"/>
    </row>
    <row r="244" spans="1:76" s="31" customFormat="1" ht="16.8">
      <c r="A244" s="265" t="str">
        <f>IF(H244&lt;&gt;"",1+MAX($A$8:A243),"")</f>
        <v/>
      </c>
      <c r="B244" s="362"/>
      <c r="C244" s="237" t="s">
        <v>146</v>
      </c>
      <c r="D244" s="403"/>
      <c r="E244" s="404"/>
      <c r="F244" s="234">
        <f>ROUNDUP(F241/200,0)</f>
        <v>1</v>
      </c>
      <c r="G244" s="230" t="s">
        <v>147</v>
      </c>
      <c r="H244" s="288"/>
      <c r="I244" s="181"/>
      <c r="J244" s="289"/>
      <c r="K244" s="231"/>
      <c r="L244" s="231"/>
      <c r="M244" s="232"/>
      <c r="N244" s="233"/>
      <c r="O244" s="284"/>
      <c r="P244" s="182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  <c r="BH244" s="30"/>
      <c r="BI244" s="30"/>
      <c r="BJ244" s="30"/>
      <c r="BK244" s="30"/>
      <c r="BL244" s="30"/>
      <c r="BM244" s="30"/>
      <c r="BN244" s="30"/>
      <c r="BO244" s="30"/>
      <c r="BP244" s="30"/>
      <c r="BQ244" s="30"/>
      <c r="BR244" s="30"/>
      <c r="BS244" s="30"/>
      <c r="BT244" s="30"/>
      <c r="BU244" s="30"/>
      <c r="BV244" s="30"/>
      <c r="BW244" s="30"/>
      <c r="BX244" s="30"/>
    </row>
    <row r="245" spans="1:76" s="31" customFormat="1" ht="16.8">
      <c r="A245" s="265" t="str">
        <f>IF(H245&lt;&gt;"",1+MAX($A$8:A244),"")</f>
        <v/>
      </c>
      <c r="B245" s="362"/>
      <c r="C245" s="238" t="s">
        <v>148</v>
      </c>
      <c r="D245" s="405"/>
      <c r="E245" s="406"/>
      <c r="F245" s="234">
        <f>ROUNDUP(F241*5.25/1000,0)</f>
        <v>1</v>
      </c>
      <c r="G245" s="230" t="s">
        <v>152</v>
      </c>
      <c r="H245" s="288"/>
      <c r="I245" s="181"/>
      <c r="J245" s="289"/>
      <c r="K245" s="231"/>
      <c r="L245" s="231"/>
      <c r="M245" s="232"/>
      <c r="N245" s="233"/>
      <c r="O245" s="284"/>
      <c r="P245" s="182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  <c r="BH245" s="30"/>
      <c r="BI245" s="30"/>
      <c r="BJ245" s="30"/>
      <c r="BK245" s="30"/>
      <c r="BL245" s="30"/>
      <c r="BM245" s="30"/>
      <c r="BN245" s="30"/>
      <c r="BO245" s="30"/>
      <c r="BP245" s="30"/>
      <c r="BQ245" s="30"/>
      <c r="BR245" s="30"/>
      <c r="BS245" s="30"/>
      <c r="BT245" s="30"/>
      <c r="BU245" s="30"/>
      <c r="BV245" s="30"/>
      <c r="BW245" s="30"/>
      <c r="BX245" s="30"/>
    </row>
    <row r="246" spans="1:76" s="31" customFormat="1" ht="16.8">
      <c r="A246" s="21">
        <f>IF(H246&lt;&gt;"",1+MAX($A$8:A245),"")</f>
        <v>158</v>
      </c>
      <c r="B246" s="362"/>
      <c r="C246" s="236" t="s">
        <v>186</v>
      </c>
      <c r="D246" s="234">
        <v>462.6</v>
      </c>
      <c r="E246" s="235">
        <v>0.05</v>
      </c>
      <c r="F246" s="234">
        <f t="shared" ref="F246" si="181">(1+E246)*D246</f>
        <v>485.73</v>
      </c>
      <c r="G246" s="230" t="s">
        <v>50</v>
      </c>
      <c r="H246" s="288">
        <v>0.61800919999999993</v>
      </c>
      <c r="I246" s="181">
        <f>H246*F246</f>
        <v>300.18560871599999</v>
      </c>
      <c r="J246" s="289">
        <v>1.17</v>
      </c>
      <c r="K246" s="164">
        <f t="shared" ref="K246" si="182">N246/M246</f>
        <v>13.531049999999999</v>
      </c>
      <c r="L246" s="164">
        <f>D246/K246</f>
        <v>34.188034188034194</v>
      </c>
      <c r="M246" s="165">
        <f>M$227</f>
        <v>40</v>
      </c>
      <c r="N246" s="166">
        <f>D246*J246</f>
        <v>541.24199999999996</v>
      </c>
      <c r="O246" s="331">
        <f>N246+I246</f>
        <v>841.4276087159999</v>
      </c>
      <c r="P246" s="167">
        <f>O246/F246</f>
        <v>1.732294914285714</v>
      </c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  <c r="BH246" s="30"/>
      <c r="BI246" s="30"/>
      <c r="BJ246" s="30"/>
      <c r="BK246" s="30"/>
      <c r="BL246" s="30"/>
      <c r="BM246" s="30"/>
      <c r="BN246" s="30"/>
      <c r="BO246" s="30"/>
      <c r="BP246" s="30"/>
      <c r="BQ246" s="30"/>
      <c r="BR246" s="30"/>
      <c r="BS246" s="30"/>
      <c r="BT246" s="30"/>
      <c r="BU246" s="30"/>
      <c r="BV246" s="30"/>
      <c r="BW246" s="30"/>
      <c r="BX246" s="30"/>
    </row>
    <row r="247" spans="1:76" s="31" customFormat="1" ht="16.8">
      <c r="A247" s="265" t="str">
        <f>IF(H247&lt;&gt;"",1+MAX($A$8:A246),"")</f>
        <v/>
      </c>
      <c r="B247" s="362"/>
      <c r="C247" s="237" t="s">
        <v>142</v>
      </c>
      <c r="D247" s="401"/>
      <c r="E247" s="402"/>
      <c r="F247" s="234">
        <f>ROUNDUP(F246/32,0)</f>
        <v>16</v>
      </c>
      <c r="G247" s="230" t="s">
        <v>143</v>
      </c>
      <c r="H247" s="288"/>
      <c r="I247" s="181"/>
      <c r="J247" s="289"/>
      <c r="K247" s="231"/>
      <c r="L247" s="231"/>
      <c r="M247" s="232"/>
      <c r="N247" s="233"/>
      <c r="O247" s="284"/>
      <c r="P247" s="182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  <c r="BH247" s="30"/>
      <c r="BI247" s="30"/>
      <c r="BJ247" s="30"/>
      <c r="BK247" s="30"/>
      <c r="BL247" s="30"/>
      <c r="BM247" s="30"/>
      <c r="BN247" s="30"/>
      <c r="BO247" s="30"/>
      <c r="BP247" s="30"/>
      <c r="BQ247" s="30"/>
      <c r="BR247" s="30"/>
      <c r="BS247" s="30"/>
      <c r="BT247" s="30"/>
      <c r="BU247" s="30"/>
      <c r="BV247" s="30"/>
      <c r="BW247" s="30"/>
      <c r="BX247" s="30"/>
    </row>
    <row r="248" spans="1:76" s="31" customFormat="1" ht="16.8">
      <c r="A248" s="265" t="str">
        <f>IF(H248&lt;&gt;"",1+MAX($A$8:A247),"")</f>
        <v/>
      </c>
      <c r="B248" s="362"/>
      <c r="C248" s="237" t="s">
        <v>144</v>
      </c>
      <c r="D248" s="403"/>
      <c r="E248" s="404"/>
      <c r="F248" s="234">
        <f>ROUNDUP(F247*24/500,0)</f>
        <v>1</v>
      </c>
      <c r="G248" s="230" t="s">
        <v>145</v>
      </c>
      <c r="H248" s="288"/>
      <c r="I248" s="181"/>
      <c r="J248" s="289"/>
      <c r="K248" s="231"/>
      <c r="L248" s="231"/>
      <c r="M248" s="232"/>
      <c r="N248" s="233"/>
      <c r="O248" s="284"/>
      <c r="P248" s="182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  <c r="BH248" s="30"/>
      <c r="BI248" s="30"/>
      <c r="BJ248" s="30"/>
      <c r="BK248" s="30"/>
      <c r="BL248" s="30"/>
      <c r="BM248" s="30"/>
      <c r="BN248" s="30"/>
      <c r="BO248" s="30"/>
      <c r="BP248" s="30"/>
      <c r="BQ248" s="30"/>
      <c r="BR248" s="30"/>
      <c r="BS248" s="30"/>
      <c r="BT248" s="30"/>
      <c r="BU248" s="30"/>
      <c r="BV248" s="30"/>
      <c r="BW248" s="30"/>
      <c r="BX248" s="30"/>
    </row>
    <row r="249" spans="1:76" s="31" customFormat="1" ht="16.8">
      <c r="A249" s="265" t="str">
        <f>IF(H249&lt;&gt;"",1+MAX($A$8:A248),"")</f>
        <v/>
      </c>
      <c r="B249" s="362"/>
      <c r="C249" s="237" t="s">
        <v>146</v>
      </c>
      <c r="D249" s="403"/>
      <c r="E249" s="404"/>
      <c r="F249" s="234">
        <f>ROUNDUP(F246/200,0)</f>
        <v>3</v>
      </c>
      <c r="G249" s="230" t="s">
        <v>147</v>
      </c>
      <c r="H249" s="288"/>
      <c r="I249" s="181"/>
      <c r="J249" s="289"/>
      <c r="K249" s="231"/>
      <c r="L249" s="231"/>
      <c r="M249" s="232"/>
      <c r="N249" s="233"/>
      <c r="O249" s="284"/>
      <c r="P249" s="182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  <c r="BH249" s="30"/>
      <c r="BI249" s="30"/>
      <c r="BJ249" s="30"/>
      <c r="BK249" s="30"/>
      <c r="BL249" s="30"/>
      <c r="BM249" s="30"/>
      <c r="BN249" s="30"/>
      <c r="BO249" s="30"/>
      <c r="BP249" s="30"/>
      <c r="BQ249" s="30"/>
      <c r="BR249" s="30"/>
      <c r="BS249" s="30"/>
      <c r="BT249" s="30"/>
      <c r="BU249" s="30"/>
      <c r="BV249" s="30"/>
      <c r="BW249" s="30"/>
      <c r="BX249" s="30"/>
    </row>
    <row r="250" spans="1:76" s="31" customFormat="1" ht="16.8">
      <c r="A250" s="265" t="str">
        <f>IF(H250&lt;&gt;"",1+MAX($A$8:A249),"")</f>
        <v/>
      </c>
      <c r="B250" s="362"/>
      <c r="C250" s="238" t="s">
        <v>148</v>
      </c>
      <c r="D250" s="405"/>
      <c r="E250" s="406"/>
      <c r="F250" s="234">
        <f>ROUNDUP(F246*5.25/1000,0)</f>
        <v>3</v>
      </c>
      <c r="G250" s="230" t="s">
        <v>152</v>
      </c>
      <c r="H250" s="288"/>
      <c r="I250" s="181"/>
      <c r="J250" s="289"/>
      <c r="K250" s="231"/>
      <c r="L250" s="231"/>
      <c r="M250" s="232"/>
      <c r="N250" s="233"/>
      <c r="O250" s="284"/>
      <c r="P250" s="182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  <c r="BH250" s="30"/>
      <c r="BI250" s="30"/>
      <c r="BJ250" s="30"/>
      <c r="BK250" s="30"/>
      <c r="BL250" s="30"/>
      <c r="BM250" s="30"/>
      <c r="BN250" s="30"/>
      <c r="BO250" s="30"/>
      <c r="BP250" s="30"/>
      <c r="BQ250" s="30"/>
      <c r="BR250" s="30"/>
      <c r="BS250" s="30"/>
      <c r="BT250" s="30"/>
      <c r="BU250" s="30"/>
      <c r="BV250" s="30"/>
      <c r="BW250" s="30"/>
      <c r="BX250" s="30"/>
    </row>
    <row r="251" spans="1:76" s="31" customFormat="1" ht="16.8">
      <c r="A251" s="21" t="str">
        <f>IF(H251&lt;&gt;"",1+MAX($A$8:A250),"")</f>
        <v/>
      </c>
      <c r="B251" s="362"/>
      <c r="C251" s="146" t="s">
        <v>189</v>
      </c>
      <c r="D251" s="150"/>
      <c r="E251" s="152"/>
      <c r="F251" s="150"/>
      <c r="G251" s="160"/>
      <c r="H251" s="139"/>
      <c r="I251" s="135"/>
      <c r="J251" s="139"/>
      <c r="K251" s="135"/>
      <c r="L251" s="164"/>
      <c r="M251" s="165"/>
      <c r="N251" s="166"/>
      <c r="O251" s="331"/>
      <c r="P251" s="167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  <c r="AQ251" s="30"/>
      <c r="AR251" s="30"/>
      <c r="AS251" s="30"/>
      <c r="AT251" s="30"/>
      <c r="AU251" s="30"/>
      <c r="AV251" s="30"/>
      <c r="AW251" s="30"/>
      <c r="AX251" s="30"/>
      <c r="AY251" s="30"/>
      <c r="AZ251" s="30"/>
      <c r="BA251" s="30"/>
      <c r="BB251" s="30"/>
      <c r="BC251" s="30"/>
      <c r="BD251" s="30"/>
      <c r="BE251" s="30"/>
      <c r="BF251" s="30"/>
      <c r="BG251" s="30"/>
      <c r="BH251" s="30"/>
      <c r="BI251" s="30"/>
      <c r="BJ251" s="30"/>
      <c r="BK251" s="30"/>
      <c r="BL251" s="30"/>
      <c r="BM251" s="30"/>
      <c r="BN251" s="30"/>
      <c r="BO251" s="30"/>
      <c r="BP251" s="30"/>
      <c r="BQ251" s="30"/>
      <c r="BR251" s="30"/>
      <c r="BS251" s="30"/>
      <c r="BT251" s="30"/>
      <c r="BU251" s="30"/>
      <c r="BV251" s="30"/>
      <c r="BW251" s="30"/>
      <c r="BX251" s="30"/>
    </row>
    <row r="252" spans="1:76" s="31" customFormat="1" ht="16.8">
      <c r="A252" s="21">
        <f>IF(H252&lt;&gt;"",1+MAX($A$8:A251),"")</f>
        <v>159</v>
      </c>
      <c r="B252" s="363"/>
      <c r="C252" s="42" t="s">
        <v>187</v>
      </c>
      <c r="D252" s="25">
        <v>890</v>
      </c>
      <c r="E252" s="24">
        <v>0.05</v>
      </c>
      <c r="F252" s="25">
        <f t="shared" ref="F252" si="183">(1+E252)*D252</f>
        <v>934.5</v>
      </c>
      <c r="G252" s="158" t="s">
        <v>51</v>
      </c>
      <c r="H252" s="288">
        <v>6.5053600000000003E-2</v>
      </c>
      <c r="I252" s="181">
        <f>H252*F252</f>
        <v>60.792589200000002</v>
      </c>
      <c r="J252" s="289">
        <v>0.82000000000000006</v>
      </c>
      <c r="K252" s="164">
        <f t="shared" ref="K252" si="184">N252/M252</f>
        <v>18.245000000000001</v>
      </c>
      <c r="L252" s="164">
        <f>D252/K252</f>
        <v>48.780487804878049</v>
      </c>
      <c r="M252" s="165">
        <f>M$227</f>
        <v>40</v>
      </c>
      <c r="N252" s="166">
        <f>D252*J252</f>
        <v>729.80000000000007</v>
      </c>
      <c r="O252" s="331">
        <f>N252+I252</f>
        <v>790.59258920000002</v>
      </c>
      <c r="P252" s="167">
        <f>O252/F252</f>
        <v>0.846005980952381</v>
      </c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R252" s="30"/>
      <c r="AS252" s="30"/>
      <c r="AT252" s="30"/>
      <c r="AU252" s="30"/>
      <c r="AV252" s="30"/>
      <c r="AW252" s="30"/>
      <c r="AX252" s="30"/>
      <c r="AY252" s="30"/>
      <c r="AZ252" s="30"/>
      <c r="BA252" s="30"/>
      <c r="BB252" s="30"/>
      <c r="BC252" s="30"/>
      <c r="BD252" s="30"/>
      <c r="BE252" s="30"/>
      <c r="BF252" s="30"/>
      <c r="BG252" s="30"/>
      <c r="BH252" s="30"/>
      <c r="BI252" s="30"/>
      <c r="BJ252" s="30"/>
      <c r="BK252" s="30"/>
      <c r="BL252" s="30"/>
      <c r="BM252" s="30"/>
      <c r="BN252" s="30"/>
      <c r="BO252" s="30"/>
      <c r="BP252" s="30"/>
      <c r="BQ252" s="30"/>
      <c r="BR252" s="30"/>
      <c r="BS252" s="30"/>
      <c r="BT252" s="30"/>
      <c r="BU252" s="30"/>
      <c r="BV252" s="30"/>
      <c r="BW252" s="30"/>
      <c r="BX252" s="30"/>
    </row>
    <row r="253" spans="1:76" s="31" customFormat="1" ht="16.8">
      <c r="A253" s="21" t="str">
        <f>IF(H253&lt;&gt;"",1+MAX($A$8:A252),"")</f>
        <v/>
      </c>
      <c r="B253" s="361" t="s">
        <v>294</v>
      </c>
      <c r="C253" s="179" t="s">
        <v>66</v>
      </c>
      <c r="D253" s="272"/>
      <c r="E253" s="230"/>
      <c r="F253" s="230"/>
      <c r="G253" s="180"/>
      <c r="H253" s="283"/>
      <c r="I253" s="181"/>
      <c r="J253" s="283"/>
      <c r="K253" s="181"/>
      <c r="L253" s="231"/>
      <c r="M253" s="165"/>
      <c r="N253" s="233"/>
      <c r="O253" s="284"/>
      <c r="P253" s="182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  <c r="AQ253" s="30"/>
      <c r="AR253" s="30"/>
      <c r="AS253" s="30"/>
      <c r="AT253" s="30"/>
      <c r="AU253" s="30"/>
      <c r="AV253" s="30"/>
      <c r="AW253" s="30"/>
      <c r="AX253" s="30"/>
      <c r="AY253" s="30"/>
      <c r="AZ253" s="30"/>
      <c r="BA253" s="30"/>
      <c r="BB253" s="30"/>
      <c r="BC253" s="30"/>
      <c r="BD253" s="30"/>
      <c r="BE253" s="30"/>
      <c r="BF253" s="30"/>
      <c r="BG253" s="30"/>
      <c r="BH253" s="30"/>
      <c r="BI253" s="30"/>
      <c r="BJ253" s="30"/>
      <c r="BK253" s="30"/>
      <c r="BL253" s="30"/>
      <c r="BM253" s="30"/>
      <c r="BN253" s="30"/>
      <c r="BO253" s="30"/>
      <c r="BP253" s="30"/>
      <c r="BQ253" s="30"/>
      <c r="BR253" s="30"/>
      <c r="BS253" s="30"/>
      <c r="BT253" s="30"/>
      <c r="BU253" s="30"/>
      <c r="BV253" s="30"/>
      <c r="BW253" s="30"/>
      <c r="BX253" s="30"/>
    </row>
    <row r="254" spans="1:76" s="31" customFormat="1" ht="16.8">
      <c r="A254" s="21">
        <f>IF(H254&lt;&gt;"",1+MAX($A$8:A253),"")</f>
        <v>160</v>
      </c>
      <c r="B254" s="362"/>
      <c r="C254" s="300" t="s">
        <v>328</v>
      </c>
      <c r="D254" s="272">
        <v>1490.43</v>
      </c>
      <c r="E254" s="235">
        <v>0.05</v>
      </c>
      <c r="F254" s="234">
        <f t="shared" ref="F254" si="185">(1+E254)*D254</f>
        <v>1564.9515000000001</v>
      </c>
      <c r="G254" s="180" t="s">
        <v>50</v>
      </c>
      <c r="H254" s="288">
        <v>0.58548240000000007</v>
      </c>
      <c r="I254" s="181">
        <f>H254*F254</f>
        <v>916.25156010360013</v>
      </c>
      <c r="J254" s="289">
        <v>1.28</v>
      </c>
      <c r="K254" s="231">
        <f t="shared" ref="K254" si="186">N254/M254</f>
        <v>47.693760000000005</v>
      </c>
      <c r="L254" s="231">
        <f>D254/K254</f>
        <v>31.25</v>
      </c>
      <c r="M254" s="165">
        <f t="shared" ref="M254:M259" si="187">M$227</f>
        <v>40</v>
      </c>
      <c r="N254" s="233">
        <f>D254*J254</f>
        <v>1907.7504000000001</v>
      </c>
      <c r="O254" s="284">
        <f>N254+I254</f>
        <v>2824.0019601036001</v>
      </c>
      <c r="P254" s="182">
        <f>O254/F254</f>
        <v>1.804530019047619</v>
      </c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  <c r="AQ254" s="30"/>
      <c r="AR254" s="30"/>
      <c r="AS254" s="30"/>
      <c r="AT254" s="30"/>
      <c r="AU254" s="30"/>
      <c r="AV254" s="30"/>
      <c r="AW254" s="30"/>
      <c r="AX254" s="30"/>
      <c r="AY254" s="30"/>
      <c r="AZ254" s="30"/>
      <c r="BA254" s="30"/>
      <c r="BB254" s="30"/>
      <c r="BC254" s="30"/>
      <c r="BD254" s="30"/>
      <c r="BE254" s="30"/>
      <c r="BF254" s="30"/>
      <c r="BG254" s="30"/>
      <c r="BH254" s="30"/>
      <c r="BI254" s="30"/>
      <c r="BJ254" s="30"/>
      <c r="BK254" s="30"/>
      <c r="BL254" s="30"/>
      <c r="BM254" s="30"/>
      <c r="BN254" s="30"/>
      <c r="BO254" s="30"/>
      <c r="BP254" s="30"/>
      <c r="BQ254" s="30"/>
      <c r="BR254" s="30"/>
      <c r="BS254" s="30"/>
      <c r="BT254" s="30"/>
      <c r="BU254" s="30"/>
      <c r="BV254" s="30"/>
      <c r="BW254" s="30"/>
      <c r="BX254" s="30"/>
    </row>
    <row r="255" spans="1:76" s="31" customFormat="1" ht="16.8">
      <c r="A255" s="307" t="str">
        <f>IF(H255&lt;&gt;"",1+MAX($A$8:A254),"")</f>
        <v/>
      </c>
      <c r="B255" s="362"/>
      <c r="C255" s="237" t="s">
        <v>142</v>
      </c>
      <c r="D255" s="401"/>
      <c r="E255" s="402"/>
      <c r="F255" s="234">
        <f>ROUNDUP(F254/32,0)</f>
        <v>49</v>
      </c>
      <c r="G255" s="230" t="s">
        <v>143</v>
      </c>
      <c r="H255" s="288"/>
      <c r="I255" s="181"/>
      <c r="J255" s="289"/>
      <c r="K255" s="231"/>
      <c r="L255" s="231"/>
      <c r="M255" s="165"/>
      <c r="N255" s="233"/>
      <c r="O255" s="284"/>
      <c r="P255" s="182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  <c r="AQ255" s="30"/>
      <c r="AR255" s="30"/>
      <c r="AS255" s="30"/>
      <c r="AT255" s="30"/>
      <c r="AU255" s="30"/>
      <c r="AV255" s="30"/>
      <c r="AW255" s="30"/>
      <c r="AX255" s="30"/>
      <c r="AY255" s="30"/>
      <c r="AZ255" s="30"/>
      <c r="BA255" s="30"/>
      <c r="BB255" s="30"/>
      <c r="BC255" s="30"/>
      <c r="BD255" s="30"/>
      <c r="BE255" s="30"/>
      <c r="BF255" s="30"/>
      <c r="BG255" s="30"/>
      <c r="BH255" s="30"/>
      <c r="BI255" s="30"/>
      <c r="BJ255" s="30"/>
      <c r="BK255" s="30"/>
      <c r="BL255" s="30"/>
      <c r="BM255" s="30"/>
      <c r="BN255" s="30"/>
      <c r="BO255" s="30"/>
      <c r="BP255" s="30"/>
      <c r="BQ255" s="30"/>
      <c r="BR255" s="30"/>
      <c r="BS255" s="30"/>
      <c r="BT255" s="30"/>
      <c r="BU255" s="30"/>
      <c r="BV255" s="30"/>
      <c r="BW255" s="30"/>
      <c r="BX255" s="30"/>
    </row>
    <row r="256" spans="1:76" s="31" customFormat="1" ht="16.8">
      <c r="A256" s="307" t="str">
        <f>IF(H256&lt;&gt;"",1+MAX($A$8:A255),"")</f>
        <v/>
      </c>
      <c r="B256" s="362"/>
      <c r="C256" s="237" t="s">
        <v>144</v>
      </c>
      <c r="D256" s="403"/>
      <c r="E256" s="404"/>
      <c r="F256" s="234">
        <f>ROUNDUP(F254/32*16,0)</f>
        <v>783</v>
      </c>
      <c r="G256" s="230" t="s">
        <v>145</v>
      </c>
      <c r="H256" s="288"/>
      <c r="I256" s="181"/>
      <c r="J256" s="289"/>
      <c r="K256" s="231"/>
      <c r="L256" s="231"/>
      <c r="M256" s="165"/>
      <c r="N256" s="233"/>
      <c r="O256" s="284"/>
      <c r="P256" s="182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30"/>
      <c r="AS256" s="30"/>
      <c r="AT256" s="30"/>
      <c r="AU256" s="30"/>
      <c r="AV256" s="30"/>
      <c r="AW256" s="30"/>
      <c r="AX256" s="30"/>
      <c r="AY256" s="30"/>
      <c r="AZ256" s="30"/>
      <c r="BA256" s="30"/>
      <c r="BB256" s="30"/>
      <c r="BC256" s="30"/>
      <c r="BD256" s="30"/>
      <c r="BE256" s="30"/>
      <c r="BF256" s="30"/>
      <c r="BG256" s="30"/>
      <c r="BH256" s="30"/>
      <c r="BI256" s="30"/>
      <c r="BJ256" s="30"/>
      <c r="BK256" s="30"/>
      <c r="BL256" s="30"/>
      <c r="BM256" s="30"/>
      <c r="BN256" s="30"/>
      <c r="BO256" s="30"/>
      <c r="BP256" s="30"/>
      <c r="BQ256" s="30"/>
      <c r="BR256" s="30"/>
      <c r="BS256" s="30"/>
      <c r="BT256" s="30"/>
      <c r="BU256" s="30"/>
      <c r="BV256" s="30"/>
      <c r="BW256" s="30"/>
      <c r="BX256" s="30"/>
    </row>
    <row r="257" spans="1:76" s="31" customFormat="1" ht="16.8">
      <c r="A257" s="307" t="str">
        <f>IF(H257&lt;&gt;"",1+MAX($A$8:A256),"")</f>
        <v/>
      </c>
      <c r="B257" s="362"/>
      <c r="C257" s="237" t="s">
        <v>146</v>
      </c>
      <c r="D257" s="403"/>
      <c r="E257" s="404"/>
      <c r="F257" s="234">
        <f>ROUNDUP(F254*0.054,0)</f>
        <v>85</v>
      </c>
      <c r="G257" s="230" t="s">
        <v>147</v>
      </c>
      <c r="H257" s="288"/>
      <c r="I257" s="181"/>
      <c r="J257" s="289"/>
      <c r="K257" s="231"/>
      <c r="L257" s="231"/>
      <c r="M257" s="165"/>
      <c r="N257" s="233"/>
      <c r="O257" s="284"/>
      <c r="P257" s="182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  <c r="AW257" s="30"/>
      <c r="AX257" s="30"/>
      <c r="AY257" s="30"/>
      <c r="AZ257" s="30"/>
      <c r="BA257" s="30"/>
      <c r="BB257" s="30"/>
      <c r="BC257" s="30"/>
      <c r="BD257" s="30"/>
      <c r="BE257" s="30"/>
      <c r="BF257" s="30"/>
      <c r="BG257" s="30"/>
      <c r="BH257" s="30"/>
      <c r="BI257" s="30"/>
      <c r="BJ257" s="30"/>
      <c r="BK257" s="30"/>
      <c r="BL257" s="30"/>
      <c r="BM257" s="30"/>
      <c r="BN257" s="30"/>
      <c r="BO257" s="30"/>
      <c r="BP257" s="30"/>
      <c r="BQ257" s="30"/>
      <c r="BR257" s="30"/>
      <c r="BS257" s="30"/>
      <c r="BT257" s="30"/>
      <c r="BU257" s="30"/>
      <c r="BV257" s="30"/>
      <c r="BW257" s="30"/>
      <c r="BX257" s="30"/>
    </row>
    <row r="258" spans="1:76" s="31" customFormat="1" ht="16.8">
      <c r="A258" s="307" t="str">
        <f>IF(H258&lt;&gt;"",1+MAX($A$8:A257),"")</f>
        <v/>
      </c>
      <c r="B258" s="362"/>
      <c r="C258" s="238" t="s">
        <v>148</v>
      </c>
      <c r="D258" s="405"/>
      <c r="E258" s="406"/>
      <c r="F258" s="234">
        <f>ROUNDUP(F255*48,0)</f>
        <v>2352</v>
      </c>
      <c r="G258" s="230" t="s">
        <v>152</v>
      </c>
      <c r="H258" s="288"/>
      <c r="I258" s="181"/>
      <c r="J258" s="289"/>
      <c r="K258" s="231"/>
      <c r="L258" s="231"/>
      <c r="M258" s="165"/>
      <c r="N258" s="233"/>
      <c r="O258" s="284"/>
      <c r="P258" s="182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R258" s="30"/>
      <c r="AS258" s="30"/>
      <c r="AT258" s="30"/>
      <c r="AU258" s="30"/>
      <c r="AV258" s="30"/>
      <c r="AW258" s="30"/>
      <c r="AX258" s="30"/>
      <c r="AY258" s="30"/>
      <c r="AZ258" s="30"/>
      <c r="BA258" s="30"/>
      <c r="BB258" s="30"/>
      <c r="BC258" s="30"/>
      <c r="BD258" s="30"/>
      <c r="BE258" s="30"/>
      <c r="BF258" s="30"/>
      <c r="BG258" s="30"/>
      <c r="BH258" s="30"/>
      <c r="BI258" s="30"/>
      <c r="BJ258" s="30"/>
      <c r="BK258" s="30"/>
      <c r="BL258" s="30"/>
      <c r="BM258" s="30"/>
      <c r="BN258" s="30"/>
      <c r="BO258" s="30"/>
      <c r="BP258" s="30"/>
      <c r="BQ258" s="30"/>
      <c r="BR258" s="30"/>
      <c r="BS258" s="30"/>
      <c r="BT258" s="30"/>
      <c r="BU258" s="30"/>
      <c r="BV258" s="30"/>
      <c r="BW258" s="30"/>
      <c r="BX258" s="30"/>
    </row>
    <row r="259" spans="1:76" s="31" customFormat="1" ht="16.8">
      <c r="A259" s="21">
        <f>IF(H259&lt;&gt;"",1+MAX($A$8:A258),"")</f>
        <v>161</v>
      </c>
      <c r="B259" s="362"/>
      <c r="C259" s="300" t="s">
        <v>329</v>
      </c>
      <c r="D259" s="272">
        <v>173.23</v>
      </c>
      <c r="E259" s="235">
        <v>0.05</v>
      </c>
      <c r="F259" s="234">
        <f t="shared" ref="F259" si="188">(1+E259)*D259</f>
        <v>181.89150000000001</v>
      </c>
      <c r="G259" s="180" t="s">
        <v>50</v>
      </c>
      <c r="H259" s="288">
        <v>0.68306280000000008</v>
      </c>
      <c r="I259" s="181">
        <f>H259*F259</f>
        <v>124.24331728620002</v>
      </c>
      <c r="J259" s="289">
        <v>1.28</v>
      </c>
      <c r="K259" s="231">
        <f t="shared" ref="K259" si="189">N259/M259</f>
        <v>5.5433599999999998</v>
      </c>
      <c r="L259" s="231">
        <f>D259/K259</f>
        <v>31.25</v>
      </c>
      <c r="M259" s="165">
        <f t="shared" si="187"/>
        <v>40</v>
      </c>
      <c r="N259" s="233">
        <f>D259*J259</f>
        <v>221.73439999999999</v>
      </c>
      <c r="O259" s="284">
        <f>N259+I259</f>
        <v>345.9777172862</v>
      </c>
      <c r="P259" s="182">
        <f>O259/F259</f>
        <v>1.902110419047619</v>
      </c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  <c r="AQ259" s="30"/>
      <c r="AR259" s="30"/>
      <c r="AS259" s="30"/>
      <c r="AT259" s="30"/>
      <c r="AU259" s="30"/>
      <c r="AV259" s="30"/>
      <c r="AW259" s="30"/>
      <c r="AX259" s="30"/>
      <c r="AY259" s="30"/>
      <c r="AZ259" s="30"/>
      <c r="BA259" s="30"/>
      <c r="BB259" s="30"/>
      <c r="BC259" s="30"/>
      <c r="BD259" s="30"/>
      <c r="BE259" s="30"/>
      <c r="BF259" s="30"/>
      <c r="BG259" s="30"/>
      <c r="BH259" s="30"/>
      <c r="BI259" s="30"/>
      <c r="BJ259" s="30"/>
      <c r="BK259" s="30"/>
      <c r="BL259" s="30"/>
      <c r="BM259" s="30"/>
      <c r="BN259" s="30"/>
      <c r="BO259" s="30"/>
      <c r="BP259" s="30"/>
      <c r="BQ259" s="30"/>
      <c r="BR259" s="30"/>
      <c r="BS259" s="30"/>
      <c r="BT259" s="30"/>
      <c r="BU259" s="30"/>
      <c r="BV259" s="30"/>
      <c r="BW259" s="30"/>
      <c r="BX259" s="30"/>
    </row>
    <row r="260" spans="1:76" s="31" customFormat="1" ht="16.8">
      <c r="A260" s="307" t="str">
        <f>IF(H260&lt;&gt;"",1+MAX($A$8:A259),"")</f>
        <v/>
      </c>
      <c r="B260" s="362"/>
      <c r="C260" s="237" t="s">
        <v>142</v>
      </c>
      <c r="D260" s="401"/>
      <c r="E260" s="402"/>
      <c r="F260" s="234">
        <f>ROUNDUP(F259/32,0)</f>
        <v>6</v>
      </c>
      <c r="G260" s="230" t="s">
        <v>143</v>
      </c>
      <c r="H260" s="288"/>
      <c r="I260" s="181"/>
      <c r="J260" s="289"/>
      <c r="K260" s="231"/>
      <c r="L260" s="231"/>
      <c r="M260" s="165"/>
      <c r="N260" s="233"/>
      <c r="O260" s="284"/>
      <c r="P260" s="182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30"/>
      <c r="AS260" s="30"/>
      <c r="AT260" s="30"/>
      <c r="AU260" s="30"/>
      <c r="AV260" s="30"/>
      <c r="AW260" s="30"/>
      <c r="AX260" s="30"/>
      <c r="AY260" s="30"/>
      <c r="AZ260" s="30"/>
      <c r="BA260" s="30"/>
      <c r="BB260" s="30"/>
      <c r="BC260" s="30"/>
      <c r="BD260" s="30"/>
      <c r="BE260" s="30"/>
      <c r="BF260" s="30"/>
      <c r="BG260" s="30"/>
      <c r="BH260" s="30"/>
      <c r="BI260" s="30"/>
      <c r="BJ260" s="30"/>
      <c r="BK260" s="30"/>
      <c r="BL260" s="30"/>
      <c r="BM260" s="30"/>
      <c r="BN260" s="30"/>
      <c r="BO260" s="30"/>
      <c r="BP260" s="30"/>
      <c r="BQ260" s="30"/>
      <c r="BR260" s="30"/>
      <c r="BS260" s="30"/>
      <c r="BT260" s="30"/>
      <c r="BU260" s="30"/>
      <c r="BV260" s="30"/>
      <c r="BW260" s="30"/>
      <c r="BX260" s="30"/>
    </row>
    <row r="261" spans="1:76" s="31" customFormat="1" ht="16.8">
      <c r="A261" s="307" t="str">
        <f>IF(H261&lt;&gt;"",1+MAX($A$8:A260),"")</f>
        <v/>
      </c>
      <c r="B261" s="362"/>
      <c r="C261" s="237" t="s">
        <v>144</v>
      </c>
      <c r="D261" s="403"/>
      <c r="E261" s="404"/>
      <c r="F261" s="234">
        <f>ROUNDUP(F259/32*16,0)</f>
        <v>91</v>
      </c>
      <c r="G261" s="230" t="s">
        <v>145</v>
      </c>
      <c r="H261" s="288"/>
      <c r="I261" s="181"/>
      <c r="J261" s="289"/>
      <c r="K261" s="231"/>
      <c r="L261" s="231"/>
      <c r="M261" s="165"/>
      <c r="N261" s="233"/>
      <c r="O261" s="284"/>
      <c r="P261" s="182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  <c r="BH261" s="30"/>
      <c r="BI261" s="30"/>
      <c r="BJ261" s="30"/>
      <c r="BK261" s="30"/>
      <c r="BL261" s="30"/>
      <c r="BM261" s="30"/>
      <c r="BN261" s="30"/>
      <c r="BO261" s="30"/>
      <c r="BP261" s="30"/>
      <c r="BQ261" s="30"/>
      <c r="BR261" s="30"/>
      <c r="BS261" s="30"/>
      <c r="BT261" s="30"/>
      <c r="BU261" s="30"/>
      <c r="BV261" s="30"/>
      <c r="BW261" s="30"/>
      <c r="BX261" s="30"/>
    </row>
    <row r="262" spans="1:76" s="31" customFormat="1" ht="16.8">
      <c r="A262" s="307" t="str">
        <f>IF(H262&lt;&gt;"",1+MAX($A$8:A261),"")</f>
        <v/>
      </c>
      <c r="B262" s="362"/>
      <c r="C262" s="237" t="s">
        <v>146</v>
      </c>
      <c r="D262" s="403"/>
      <c r="E262" s="404"/>
      <c r="F262" s="234">
        <f>ROUNDUP(F259*0.054,0)</f>
        <v>10</v>
      </c>
      <c r="G262" s="230" t="s">
        <v>147</v>
      </c>
      <c r="H262" s="288"/>
      <c r="I262" s="181"/>
      <c r="J262" s="289"/>
      <c r="K262" s="231"/>
      <c r="L262" s="231"/>
      <c r="M262" s="165"/>
      <c r="N262" s="233"/>
      <c r="O262" s="284"/>
      <c r="P262" s="182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  <c r="BH262" s="30"/>
      <c r="BI262" s="30"/>
      <c r="BJ262" s="30"/>
      <c r="BK262" s="30"/>
      <c r="BL262" s="30"/>
      <c r="BM262" s="30"/>
      <c r="BN262" s="30"/>
      <c r="BO262" s="30"/>
      <c r="BP262" s="30"/>
      <c r="BQ262" s="30"/>
      <c r="BR262" s="30"/>
      <c r="BS262" s="30"/>
      <c r="BT262" s="30"/>
      <c r="BU262" s="30"/>
      <c r="BV262" s="30"/>
      <c r="BW262" s="30"/>
      <c r="BX262" s="30"/>
    </row>
    <row r="263" spans="1:76" s="31" customFormat="1" ht="16.8">
      <c r="A263" s="307" t="str">
        <f>IF(H263&lt;&gt;"",1+MAX($A$8:A262),"")</f>
        <v/>
      </c>
      <c r="B263" s="363"/>
      <c r="C263" s="238" t="s">
        <v>148</v>
      </c>
      <c r="D263" s="405"/>
      <c r="E263" s="406"/>
      <c r="F263" s="234">
        <f>ROUNDUP(F260*48,0)</f>
        <v>288</v>
      </c>
      <c r="G263" s="230" t="s">
        <v>152</v>
      </c>
      <c r="H263" s="288"/>
      <c r="I263" s="181"/>
      <c r="J263" s="289"/>
      <c r="K263" s="231"/>
      <c r="L263" s="231"/>
      <c r="M263" s="165"/>
      <c r="N263" s="233"/>
      <c r="O263" s="284"/>
      <c r="P263" s="182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  <c r="BH263" s="30"/>
      <c r="BI263" s="30"/>
      <c r="BJ263" s="30"/>
      <c r="BK263" s="30"/>
      <c r="BL263" s="30"/>
      <c r="BM263" s="30"/>
      <c r="BN263" s="30"/>
      <c r="BO263" s="30"/>
      <c r="BP263" s="30"/>
      <c r="BQ263" s="30"/>
      <c r="BR263" s="30"/>
      <c r="BS263" s="30"/>
      <c r="BT263" s="30"/>
      <c r="BU263" s="30"/>
      <c r="BV263" s="30"/>
      <c r="BW263" s="30"/>
      <c r="BX263" s="30"/>
    </row>
    <row r="264" spans="1:76" s="31" customFormat="1" ht="16.8">
      <c r="A264" s="21" t="str">
        <f>IF(H264&lt;&gt;"",1+MAX($A$8:A263),"")</f>
        <v/>
      </c>
      <c r="B264" s="136"/>
      <c r="C264" s="20" t="s">
        <v>82</v>
      </c>
      <c r="D264" s="25"/>
      <c r="E264" s="24"/>
      <c r="F264" s="25"/>
      <c r="G264" s="158"/>
      <c r="H264" s="319"/>
      <c r="I264" s="27"/>
      <c r="J264" s="139"/>
      <c r="K264" s="135"/>
      <c r="L264" s="164"/>
      <c r="M264" s="165"/>
      <c r="N264" s="166"/>
      <c r="O264" s="331"/>
      <c r="P264" s="167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  <c r="BH264" s="30"/>
      <c r="BI264" s="30"/>
      <c r="BJ264" s="30"/>
      <c r="BK264" s="30"/>
      <c r="BL264" s="30"/>
      <c r="BM264" s="30"/>
      <c r="BN264" s="30"/>
      <c r="BO264" s="30"/>
      <c r="BP264" s="30"/>
      <c r="BQ264" s="30"/>
      <c r="BR264" s="30"/>
      <c r="BS264" s="30"/>
      <c r="BT264" s="30"/>
      <c r="BU264" s="30"/>
      <c r="BV264" s="30"/>
      <c r="BW264" s="30"/>
      <c r="BX264" s="30"/>
    </row>
    <row r="265" spans="1:76" s="31" customFormat="1" ht="16.8">
      <c r="A265" s="21">
        <f>IF(H265&lt;&gt;"",1+MAX($A$8:A264),"")</f>
        <v>162</v>
      </c>
      <c r="B265" s="361" t="s">
        <v>199</v>
      </c>
      <c r="C265" s="42" t="s">
        <v>188</v>
      </c>
      <c r="D265" s="234">
        <v>462.6</v>
      </c>
      <c r="E265" s="66">
        <v>0.05</v>
      </c>
      <c r="F265" s="67">
        <f t="shared" ref="F265" si="190">(1+E265)*D265</f>
        <v>485.73</v>
      </c>
      <c r="G265" s="158" t="s">
        <v>50</v>
      </c>
      <c r="H265" s="288">
        <v>3.3762818400000003</v>
      </c>
      <c r="I265" s="181">
        <f>H265*F265</f>
        <v>1639.9613781432001</v>
      </c>
      <c r="J265" s="289">
        <v>4.3599999999999994</v>
      </c>
      <c r="K265" s="164">
        <f t="shared" ref="K265" si="191">N265/M265</f>
        <v>50.423400000000001</v>
      </c>
      <c r="L265" s="164">
        <f>D265/K265</f>
        <v>9.1743119266055047</v>
      </c>
      <c r="M265" s="165">
        <f>M$227</f>
        <v>40</v>
      </c>
      <c r="N265" s="166">
        <f>D265*J265</f>
        <v>2016.9359999999999</v>
      </c>
      <c r="O265" s="331">
        <f>N265+I265</f>
        <v>3656.8973781432001</v>
      </c>
      <c r="P265" s="167">
        <f>O265/F265</f>
        <v>7.5286627923809526</v>
      </c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  <c r="BH265" s="30"/>
      <c r="BI265" s="30"/>
      <c r="BJ265" s="30"/>
      <c r="BK265" s="30"/>
      <c r="BL265" s="30"/>
      <c r="BM265" s="30"/>
      <c r="BN265" s="30"/>
      <c r="BO265" s="30"/>
      <c r="BP265" s="30"/>
      <c r="BQ265" s="30"/>
      <c r="BR265" s="30"/>
      <c r="BS265" s="30"/>
      <c r="BT265" s="30"/>
      <c r="BU265" s="30"/>
      <c r="BV265" s="30"/>
      <c r="BW265" s="30"/>
      <c r="BX265" s="30"/>
    </row>
    <row r="266" spans="1:76" s="31" customFormat="1" ht="16.8">
      <c r="A266" s="21" t="str">
        <f>IF(H266&lt;&gt;"",1+MAX($A$8:A265),"")</f>
        <v/>
      </c>
      <c r="B266" s="362"/>
      <c r="C266" s="20" t="s">
        <v>85</v>
      </c>
      <c r="D266" s="23"/>
      <c r="E266" s="26"/>
      <c r="F266" s="26"/>
      <c r="G266" s="158"/>
      <c r="H266" s="319"/>
      <c r="I266" s="27"/>
      <c r="J266" s="139"/>
      <c r="K266" s="135"/>
      <c r="L266" s="164"/>
      <c r="M266" s="165"/>
      <c r="N266" s="166"/>
      <c r="O266" s="331"/>
      <c r="P266" s="167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  <c r="BH266" s="30"/>
      <c r="BI266" s="30"/>
      <c r="BJ266" s="30"/>
      <c r="BK266" s="30"/>
      <c r="BL266" s="30"/>
      <c r="BM266" s="30"/>
      <c r="BN266" s="30"/>
      <c r="BO266" s="30"/>
      <c r="BP266" s="30"/>
      <c r="BQ266" s="30"/>
      <c r="BR266" s="30"/>
      <c r="BS266" s="30"/>
      <c r="BT266" s="30"/>
      <c r="BU266" s="30"/>
      <c r="BV266" s="30"/>
      <c r="BW266" s="30"/>
      <c r="BX266" s="30"/>
    </row>
    <row r="267" spans="1:76" s="31" customFormat="1" ht="16.8">
      <c r="A267" s="21" t="str">
        <f>IF(H267&lt;&gt;"",1+MAX($A$8:A266),"")</f>
        <v/>
      </c>
      <c r="B267" s="362"/>
      <c r="C267" s="64" t="s">
        <v>78</v>
      </c>
      <c r="D267" s="23"/>
      <c r="E267" s="26"/>
      <c r="F267" s="26"/>
      <c r="G267" s="158"/>
      <c r="H267" s="319"/>
      <c r="I267" s="27"/>
      <c r="J267" s="139"/>
      <c r="K267" s="135"/>
      <c r="L267" s="164"/>
      <c r="M267" s="165"/>
      <c r="N267" s="166"/>
      <c r="O267" s="331"/>
      <c r="P267" s="167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  <c r="BH267" s="30"/>
      <c r="BI267" s="30"/>
      <c r="BJ267" s="30"/>
      <c r="BK267" s="30"/>
      <c r="BL267" s="30"/>
      <c r="BM267" s="30"/>
      <c r="BN267" s="30"/>
      <c r="BO267" s="30"/>
      <c r="BP267" s="30"/>
      <c r="BQ267" s="30"/>
      <c r="BR267" s="30"/>
      <c r="BS267" s="30"/>
      <c r="BT267" s="30"/>
      <c r="BU267" s="30"/>
      <c r="BV267" s="30"/>
      <c r="BW267" s="30"/>
      <c r="BX267" s="30"/>
    </row>
    <row r="268" spans="1:76" s="31" customFormat="1" ht="16.8">
      <c r="A268" s="21">
        <f>IF(H268&lt;&gt;"",1+MAX($A$8:A267),"")</f>
        <v>163</v>
      </c>
      <c r="B268" s="362"/>
      <c r="C268" s="42" t="s">
        <v>190</v>
      </c>
      <c r="D268" s="25">
        <v>2881.8</v>
      </c>
      <c r="E268" s="66">
        <v>0.05</v>
      </c>
      <c r="F268" s="67">
        <f t="shared" ref="F268:F269" si="192">(1+E268)*D268</f>
        <v>3025.8900000000003</v>
      </c>
      <c r="G268" s="158" t="s">
        <v>50</v>
      </c>
      <c r="H268" s="288">
        <v>0.26021440000000001</v>
      </c>
      <c r="I268" s="181">
        <f t="shared" ref="I268:I269" si="193">H268*F268</f>
        <v>787.38015081600008</v>
      </c>
      <c r="J268" s="289">
        <v>0.64200000000000002</v>
      </c>
      <c r="K268" s="164">
        <f t="shared" ref="K268:K269" si="194">N268/M268</f>
        <v>46.252890000000001</v>
      </c>
      <c r="L268" s="164">
        <f>D268/K268</f>
        <v>62.305295950155767</v>
      </c>
      <c r="M268" s="165">
        <f>M$227</f>
        <v>40</v>
      </c>
      <c r="N268" s="166">
        <f>D268*J268</f>
        <v>1850.1156000000001</v>
      </c>
      <c r="O268" s="331">
        <f>N268+I268</f>
        <v>2637.4957508160001</v>
      </c>
      <c r="P268" s="167">
        <f>O268/F268</f>
        <v>0.87164297142857139</v>
      </c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  <c r="BH268" s="30"/>
      <c r="BI268" s="30"/>
      <c r="BJ268" s="30"/>
      <c r="BK268" s="30"/>
      <c r="BL268" s="30"/>
      <c r="BM268" s="30"/>
      <c r="BN268" s="30"/>
      <c r="BO268" s="30"/>
      <c r="BP268" s="30"/>
      <c r="BQ268" s="30"/>
      <c r="BR268" s="30"/>
      <c r="BS268" s="30"/>
      <c r="BT268" s="30"/>
      <c r="BU268" s="30"/>
      <c r="BV268" s="30"/>
      <c r="BW268" s="30"/>
      <c r="BX268" s="30"/>
    </row>
    <row r="269" spans="1:76" s="31" customFormat="1" ht="16.8">
      <c r="A269" s="21">
        <f>IF(H269&lt;&gt;"",1+MAX($A$8:A268),"")</f>
        <v>164</v>
      </c>
      <c r="B269" s="362"/>
      <c r="C269" s="42" t="s">
        <v>191</v>
      </c>
      <c r="D269" s="272">
        <v>1792</v>
      </c>
      <c r="E269" s="66">
        <v>0.05</v>
      </c>
      <c r="F269" s="67">
        <f t="shared" si="192"/>
        <v>1881.6000000000001</v>
      </c>
      <c r="G269" s="158" t="s">
        <v>50</v>
      </c>
      <c r="H269" s="288">
        <v>0.26021440000000001</v>
      </c>
      <c r="I269" s="181">
        <f t="shared" si="193"/>
        <v>489.61941504000004</v>
      </c>
      <c r="J269" s="289">
        <v>0.64200000000000002</v>
      </c>
      <c r="K269" s="164">
        <f t="shared" si="194"/>
        <v>28.761599999999998</v>
      </c>
      <c r="L269" s="164">
        <f>D269/K269</f>
        <v>62.305295950155767</v>
      </c>
      <c r="M269" s="165">
        <f>M$227</f>
        <v>40</v>
      </c>
      <c r="N269" s="166">
        <f>D269*J269</f>
        <v>1150.4639999999999</v>
      </c>
      <c r="O269" s="331">
        <f>N269+I269</f>
        <v>1640.0834150400001</v>
      </c>
      <c r="P269" s="167">
        <f>O269/F269</f>
        <v>0.87164297142857139</v>
      </c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  <c r="BH269" s="30"/>
      <c r="BI269" s="30"/>
      <c r="BJ269" s="30"/>
      <c r="BK269" s="30"/>
      <c r="BL269" s="30"/>
      <c r="BM269" s="30"/>
      <c r="BN269" s="30"/>
      <c r="BO269" s="30"/>
      <c r="BP269" s="30"/>
      <c r="BQ269" s="30"/>
      <c r="BR269" s="30"/>
      <c r="BS269" s="30"/>
      <c r="BT269" s="30"/>
      <c r="BU269" s="30"/>
      <c r="BV269" s="30"/>
      <c r="BW269" s="30"/>
      <c r="BX269" s="30"/>
    </row>
    <row r="270" spans="1:76" s="31" customFormat="1" ht="16.8">
      <c r="A270" s="21" t="str">
        <f>IF(H270&lt;&gt;"",1+MAX($A$8:A269),"")</f>
        <v/>
      </c>
      <c r="B270" s="362"/>
      <c r="C270" s="309" t="s">
        <v>67</v>
      </c>
      <c r="D270" s="272"/>
      <c r="E270" s="230"/>
      <c r="F270" s="230"/>
      <c r="G270" s="180"/>
      <c r="H270" s="283"/>
      <c r="I270" s="181"/>
      <c r="J270" s="283"/>
      <c r="K270" s="181"/>
      <c r="L270" s="231"/>
      <c r="M270" s="165"/>
      <c r="N270" s="233"/>
      <c r="O270" s="284"/>
      <c r="P270" s="182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  <c r="BH270" s="30"/>
      <c r="BI270" s="30"/>
      <c r="BJ270" s="30"/>
      <c r="BK270" s="30"/>
      <c r="BL270" s="30"/>
      <c r="BM270" s="30"/>
      <c r="BN270" s="30"/>
      <c r="BO270" s="30"/>
      <c r="BP270" s="30"/>
      <c r="BQ270" s="30"/>
      <c r="BR270" s="30"/>
      <c r="BS270" s="30"/>
      <c r="BT270" s="30"/>
      <c r="BU270" s="30"/>
      <c r="BV270" s="30"/>
      <c r="BW270" s="30"/>
      <c r="BX270" s="30"/>
    </row>
    <row r="271" spans="1:76" s="31" customFormat="1" ht="16.8">
      <c r="A271" s="21">
        <f>IF(H271&lt;&gt;"",1+MAX($A$8:A270),"")</f>
        <v>165</v>
      </c>
      <c r="B271" s="362"/>
      <c r="C271" s="300" t="s">
        <v>330</v>
      </c>
      <c r="D271" s="272">
        <v>1490.43</v>
      </c>
      <c r="E271" s="235">
        <v>0.05</v>
      </c>
      <c r="F271" s="234">
        <f t="shared" ref="F271:F272" si="195">(1+E271)*D271</f>
        <v>1564.9515000000001</v>
      </c>
      <c r="G271" s="180" t="s">
        <v>50</v>
      </c>
      <c r="H271" s="288">
        <v>0.26021440000000001</v>
      </c>
      <c r="I271" s="181">
        <f t="shared" ref="I271:I272" si="196">H271*F271</f>
        <v>407.22291560160005</v>
      </c>
      <c r="J271" s="289">
        <v>0.64200000000000002</v>
      </c>
      <c r="K271" s="231">
        <f t="shared" ref="K271:K272" si="197">N271/M271</f>
        <v>23.921401500000002</v>
      </c>
      <c r="L271" s="231">
        <f>D271/K271</f>
        <v>62.305295950155759</v>
      </c>
      <c r="M271" s="165">
        <f t="shared" ref="M271:M277" si="198">M$227</f>
        <v>40</v>
      </c>
      <c r="N271" s="233">
        <f>D271*J271</f>
        <v>956.85606000000007</v>
      </c>
      <c r="O271" s="284">
        <f>N271+I271</f>
        <v>1364.0789756016002</v>
      </c>
      <c r="P271" s="182">
        <f>O271/F271</f>
        <v>0.8716429714285715</v>
      </c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  <c r="BH271" s="30"/>
      <c r="BI271" s="30"/>
      <c r="BJ271" s="30"/>
      <c r="BK271" s="30"/>
      <c r="BL271" s="30"/>
      <c r="BM271" s="30"/>
      <c r="BN271" s="30"/>
      <c r="BO271" s="30"/>
      <c r="BP271" s="30"/>
      <c r="BQ271" s="30"/>
      <c r="BR271" s="30"/>
      <c r="BS271" s="30"/>
      <c r="BT271" s="30"/>
      <c r="BU271" s="30"/>
      <c r="BV271" s="30"/>
      <c r="BW271" s="30"/>
      <c r="BX271" s="30"/>
    </row>
    <row r="272" spans="1:76" s="31" customFormat="1" ht="16.8">
      <c r="A272" s="21">
        <f>IF(H272&lt;&gt;"",1+MAX($A$8:A271),"")</f>
        <v>166</v>
      </c>
      <c r="B272" s="362"/>
      <c r="C272" s="300" t="s">
        <v>331</v>
      </c>
      <c r="D272" s="272">
        <v>173</v>
      </c>
      <c r="E272" s="235">
        <v>0.05</v>
      </c>
      <c r="F272" s="234">
        <f t="shared" si="195"/>
        <v>181.65</v>
      </c>
      <c r="G272" s="180" t="s">
        <v>50</v>
      </c>
      <c r="H272" s="288">
        <v>0.26021440000000001</v>
      </c>
      <c r="I272" s="181">
        <f t="shared" si="196"/>
        <v>47.267945760000003</v>
      </c>
      <c r="J272" s="289">
        <v>0.64200000000000002</v>
      </c>
      <c r="K272" s="231">
        <f t="shared" si="197"/>
        <v>2.7766500000000001</v>
      </c>
      <c r="L272" s="231">
        <f>D272/K272</f>
        <v>62.305295950155759</v>
      </c>
      <c r="M272" s="165">
        <f t="shared" si="198"/>
        <v>40</v>
      </c>
      <c r="N272" s="233">
        <f>D272*J272</f>
        <v>111.066</v>
      </c>
      <c r="O272" s="284">
        <f>N272+I272</f>
        <v>158.33394576000001</v>
      </c>
      <c r="P272" s="182">
        <f>O272/F272</f>
        <v>0.87164297142857139</v>
      </c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  <c r="BH272" s="30"/>
      <c r="BI272" s="30"/>
      <c r="BJ272" s="30"/>
      <c r="BK272" s="30"/>
      <c r="BL272" s="30"/>
      <c r="BM272" s="30"/>
      <c r="BN272" s="30"/>
      <c r="BO272" s="30"/>
      <c r="BP272" s="30"/>
      <c r="BQ272" s="30"/>
      <c r="BR272" s="30"/>
      <c r="BS272" s="30"/>
      <c r="BT272" s="30"/>
      <c r="BU272" s="30"/>
      <c r="BV272" s="30"/>
      <c r="BW272" s="30"/>
      <c r="BX272" s="30"/>
    </row>
    <row r="273" spans="1:76" s="31" customFormat="1" ht="16.8">
      <c r="A273" s="21" t="str">
        <f>IF(H273&lt;&gt;"",1+MAX($A$8:A272),"")</f>
        <v/>
      </c>
      <c r="B273" s="362"/>
      <c r="C273" s="309" t="s">
        <v>137</v>
      </c>
      <c r="D273" s="234"/>
      <c r="E273" s="235"/>
      <c r="F273" s="286"/>
      <c r="G273" s="180"/>
      <c r="H273" s="283"/>
      <c r="I273" s="181"/>
      <c r="J273" s="283"/>
      <c r="K273" s="181"/>
      <c r="L273" s="231"/>
      <c r="M273" s="165">
        <f t="shared" si="198"/>
        <v>40</v>
      </c>
      <c r="N273" s="233"/>
      <c r="O273" s="284"/>
      <c r="P273" s="182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  <c r="BH273" s="30"/>
      <c r="BI273" s="30"/>
      <c r="BJ273" s="30"/>
      <c r="BK273" s="30"/>
      <c r="BL273" s="30"/>
      <c r="BM273" s="30"/>
      <c r="BN273" s="30"/>
      <c r="BO273" s="30"/>
      <c r="BP273" s="30"/>
      <c r="BQ273" s="30"/>
      <c r="BR273" s="30"/>
      <c r="BS273" s="30"/>
      <c r="BT273" s="30"/>
      <c r="BU273" s="30"/>
      <c r="BV273" s="30"/>
      <c r="BW273" s="30"/>
      <c r="BX273" s="30"/>
    </row>
    <row r="274" spans="1:76" s="31" customFormat="1" ht="16.8">
      <c r="A274" s="307">
        <f>IF(H274&lt;&gt;"",1+MAX($A$8:A273),"")</f>
        <v>167</v>
      </c>
      <c r="B274" s="362"/>
      <c r="C274" s="236" t="s">
        <v>332</v>
      </c>
      <c r="D274" s="234">
        <v>10</v>
      </c>
      <c r="E274" s="235">
        <v>0</v>
      </c>
      <c r="F274" s="286">
        <f t="shared" ref="F274:F277" si="199">(1+E274)*D274</f>
        <v>10</v>
      </c>
      <c r="G274" s="180" t="s">
        <v>52</v>
      </c>
      <c r="H274" s="288">
        <v>22.541072400000001</v>
      </c>
      <c r="I274" s="181">
        <f t="shared" ref="I274:I277" si="200">H274*F274</f>
        <v>225.41072400000002</v>
      </c>
      <c r="J274" s="289">
        <v>27.788</v>
      </c>
      <c r="K274" s="231">
        <f t="shared" ref="K274:K277" si="201">N274/M274</f>
        <v>6.9470000000000001</v>
      </c>
      <c r="L274" s="231">
        <f>D274/K274</f>
        <v>1.4394702749388224</v>
      </c>
      <c r="M274" s="165">
        <f t="shared" si="198"/>
        <v>40</v>
      </c>
      <c r="N274" s="233">
        <f>D274*J274</f>
        <v>277.88</v>
      </c>
      <c r="O274" s="284">
        <f>N274+I274</f>
        <v>503.29072400000001</v>
      </c>
      <c r="P274" s="182">
        <f>O274/F274</f>
        <v>50.329072400000001</v>
      </c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  <c r="BH274" s="30"/>
      <c r="BI274" s="30"/>
      <c r="BJ274" s="30"/>
      <c r="BK274" s="30"/>
      <c r="BL274" s="30"/>
      <c r="BM274" s="30"/>
      <c r="BN274" s="30"/>
      <c r="BO274" s="30"/>
      <c r="BP274" s="30"/>
      <c r="BQ274" s="30"/>
      <c r="BR274" s="30"/>
      <c r="BS274" s="30"/>
      <c r="BT274" s="30"/>
      <c r="BU274" s="30"/>
      <c r="BV274" s="30"/>
      <c r="BW274" s="30"/>
      <c r="BX274" s="30"/>
    </row>
    <row r="275" spans="1:76" s="31" customFormat="1" ht="16.8">
      <c r="A275" s="307">
        <f>IF(H275&lt;&gt;"",1+MAX($A$8:A274),"")</f>
        <v>168</v>
      </c>
      <c r="B275" s="362"/>
      <c r="C275" s="236" t="s">
        <v>333</v>
      </c>
      <c r="D275" s="234">
        <v>5</v>
      </c>
      <c r="E275" s="235">
        <v>0</v>
      </c>
      <c r="F275" s="286">
        <f t="shared" si="199"/>
        <v>5</v>
      </c>
      <c r="G275" s="180" t="s">
        <v>52</v>
      </c>
      <c r="H275" s="288">
        <v>38.251516799999997</v>
      </c>
      <c r="I275" s="181">
        <f t="shared" si="200"/>
        <v>191.25758399999998</v>
      </c>
      <c r="J275" s="289">
        <v>47.155000000000001</v>
      </c>
      <c r="K275" s="231">
        <f t="shared" si="201"/>
        <v>5.8943750000000001</v>
      </c>
      <c r="L275" s="231">
        <f>D275/K275</f>
        <v>0.84826635563566954</v>
      </c>
      <c r="M275" s="165">
        <f t="shared" si="198"/>
        <v>40</v>
      </c>
      <c r="N275" s="233">
        <f>D275*J275</f>
        <v>235.77500000000001</v>
      </c>
      <c r="O275" s="284">
        <f>N275+I275</f>
        <v>427.03258399999999</v>
      </c>
      <c r="P275" s="182">
        <f>O275/F275</f>
        <v>85.406516799999991</v>
      </c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  <c r="BH275" s="30"/>
      <c r="BI275" s="30"/>
      <c r="BJ275" s="30"/>
      <c r="BK275" s="30"/>
      <c r="BL275" s="30"/>
      <c r="BM275" s="30"/>
      <c r="BN275" s="30"/>
      <c r="BO275" s="30"/>
      <c r="BP275" s="30"/>
      <c r="BQ275" s="30"/>
      <c r="BR275" s="30"/>
      <c r="BS275" s="30"/>
      <c r="BT275" s="30"/>
      <c r="BU275" s="30"/>
      <c r="BV275" s="30"/>
      <c r="BW275" s="30"/>
      <c r="BX275" s="30"/>
    </row>
    <row r="276" spans="1:76" s="31" customFormat="1" ht="16.8">
      <c r="A276" s="21">
        <f>IF(H276&lt;&gt;"",1+MAX($A$8:A275),"")</f>
        <v>169</v>
      </c>
      <c r="B276" s="362"/>
      <c r="C276" s="236" t="s">
        <v>334</v>
      </c>
      <c r="D276" s="234">
        <v>468</v>
      </c>
      <c r="E276" s="235">
        <v>0.05</v>
      </c>
      <c r="F276" s="286">
        <f t="shared" si="199"/>
        <v>491.40000000000003</v>
      </c>
      <c r="G276" s="180" t="s">
        <v>51</v>
      </c>
      <c r="H276" s="288">
        <v>0.52042880000000002</v>
      </c>
      <c r="I276" s="181">
        <f t="shared" si="200"/>
        <v>255.73871232000002</v>
      </c>
      <c r="J276" s="289">
        <v>0.57799999999999996</v>
      </c>
      <c r="K276" s="231">
        <f t="shared" si="201"/>
        <v>6.7625999999999991</v>
      </c>
      <c r="L276" s="231">
        <f>D276/K276</f>
        <v>69.204152249134964</v>
      </c>
      <c r="M276" s="165">
        <f t="shared" si="198"/>
        <v>40</v>
      </c>
      <c r="N276" s="233">
        <f>D276*J276</f>
        <v>270.50399999999996</v>
      </c>
      <c r="O276" s="284">
        <f>N276+I276</f>
        <v>526.24271232000001</v>
      </c>
      <c r="P276" s="182">
        <f>O276/F276</f>
        <v>1.0709049904761905</v>
      </c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  <c r="BH276" s="30"/>
      <c r="BI276" s="30"/>
      <c r="BJ276" s="30"/>
      <c r="BK276" s="30"/>
      <c r="BL276" s="30"/>
      <c r="BM276" s="30"/>
      <c r="BN276" s="30"/>
      <c r="BO276" s="30"/>
      <c r="BP276" s="30"/>
      <c r="BQ276" s="30"/>
      <c r="BR276" s="30"/>
      <c r="BS276" s="30"/>
      <c r="BT276" s="30"/>
      <c r="BU276" s="30"/>
      <c r="BV276" s="30"/>
      <c r="BW276" s="30"/>
      <c r="BX276" s="30"/>
    </row>
    <row r="277" spans="1:76" s="31" customFormat="1" ht="16.8">
      <c r="A277" s="21">
        <f>IF(H277&lt;&gt;"",1+MAX($A$8:A276),"")</f>
        <v>170</v>
      </c>
      <c r="B277" s="363"/>
      <c r="C277" s="65" t="s">
        <v>335</v>
      </c>
      <c r="D277" s="234">
        <v>244</v>
      </c>
      <c r="E277" s="235">
        <v>0.05</v>
      </c>
      <c r="F277" s="286">
        <f t="shared" si="199"/>
        <v>256.2</v>
      </c>
      <c r="G277" s="180" t="s">
        <v>51</v>
      </c>
      <c r="H277" s="288">
        <v>0.81316999999999995</v>
      </c>
      <c r="I277" s="181">
        <f t="shared" si="200"/>
        <v>208.33415399999998</v>
      </c>
      <c r="J277" s="289">
        <v>0.80200000000000005</v>
      </c>
      <c r="K277" s="231">
        <f t="shared" si="201"/>
        <v>4.8922000000000008</v>
      </c>
      <c r="L277" s="231">
        <f>D277/K277</f>
        <v>49.875311720698249</v>
      </c>
      <c r="M277" s="165">
        <f t="shared" si="198"/>
        <v>40</v>
      </c>
      <c r="N277" s="233">
        <f>D277*J277</f>
        <v>195.68800000000002</v>
      </c>
      <c r="O277" s="284">
        <f>N277+I277</f>
        <v>404.022154</v>
      </c>
      <c r="P277" s="182">
        <f>O277/F277</f>
        <v>1.5769795238095239</v>
      </c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  <c r="BH277" s="30"/>
      <c r="BI277" s="30"/>
      <c r="BJ277" s="30"/>
      <c r="BK277" s="30"/>
      <c r="BL277" s="30"/>
      <c r="BM277" s="30"/>
      <c r="BN277" s="30"/>
      <c r="BO277" s="30"/>
      <c r="BP277" s="30"/>
      <c r="BQ277" s="30"/>
      <c r="BR277" s="30"/>
      <c r="BS277" s="30"/>
      <c r="BT277" s="30"/>
      <c r="BU277" s="30"/>
      <c r="BV277" s="30"/>
      <c r="BW277" s="30"/>
      <c r="BX277" s="30"/>
    </row>
    <row r="278" spans="1:76" s="31" customFormat="1" ht="16.8">
      <c r="A278" s="21" t="str">
        <f>IF(H278&lt;&gt;"",1+MAX($A$8:A277),"")</f>
        <v/>
      </c>
      <c r="B278" s="361" t="s">
        <v>319</v>
      </c>
      <c r="C278" s="179" t="s">
        <v>115</v>
      </c>
      <c r="D278" s="234"/>
      <c r="E278" s="235"/>
      <c r="F278" s="234"/>
      <c r="G278" s="180"/>
      <c r="H278" s="288"/>
      <c r="I278" s="181"/>
      <c r="J278" s="289"/>
      <c r="K278" s="231"/>
      <c r="L278" s="231"/>
      <c r="M278" s="165"/>
      <c r="N278" s="233"/>
      <c r="O278" s="284"/>
      <c r="P278" s="182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  <c r="BH278" s="30"/>
      <c r="BI278" s="30"/>
      <c r="BJ278" s="30"/>
      <c r="BK278" s="30"/>
      <c r="BL278" s="30"/>
      <c r="BM278" s="30"/>
      <c r="BN278" s="30"/>
      <c r="BO278" s="30"/>
      <c r="BP278" s="30"/>
      <c r="BQ278" s="30"/>
      <c r="BR278" s="30"/>
      <c r="BS278" s="30"/>
      <c r="BT278" s="30"/>
      <c r="BU278" s="30"/>
      <c r="BV278" s="30"/>
      <c r="BW278" s="30"/>
      <c r="BX278" s="30"/>
    </row>
    <row r="279" spans="1:76" s="31" customFormat="1" ht="16.8">
      <c r="A279" s="21">
        <f>IF(H279&lt;&gt;"",1+MAX($A$8:A278),"")</f>
        <v>171</v>
      </c>
      <c r="B279" s="362"/>
      <c r="C279" s="236" t="s">
        <v>336</v>
      </c>
      <c r="D279" s="234">
        <v>1688.04</v>
      </c>
      <c r="E279" s="235">
        <v>0.05</v>
      </c>
      <c r="F279" s="234">
        <f t="shared" ref="F279:F288" si="202">(1+E279)*D279</f>
        <v>1772.442</v>
      </c>
      <c r="G279" s="180" t="s">
        <v>50</v>
      </c>
      <c r="H279" s="288">
        <v>2.02967232</v>
      </c>
      <c r="I279" s="181">
        <f t="shared" ref="I279:I290" si="203">H279*F279</f>
        <v>3597.4764662054399</v>
      </c>
      <c r="J279" s="289">
        <v>2.0399999999999996</v>
      </c>
      <c r="K279" s="231">
        <f t="shared" ref="K279:K288" si="204">N279/M279</f>
        <v>86.090039999999973</v>
      </c>
      <c r="L279" s="231">
        <f t="shared" ref="L279:L290" si="205">D279/K279</f>
        <v>19.607843137254907</v>
      </c>
      <c r="M279" s="165">
        <f t="shared" ref="M279:M290" si="206">M$227</f>
        <v>40</v>
      </c>
      <c r="N279" s="233">
        <f t="shared" ref="N279:N290" si="207">D279*J279</f>
        <v>3443.6015999999991</v>
      </c>
      <c r="O279" s="284">
        <f t="shared" ref="O279:O290" si="208">N279+I279</f>
        <v>7041.0780662054385</v>
      </c>
      <c r="P279" s="182">
        <f t="shared" ref="P279:P290" si="209">O279/F279</f>
        <v>3.9725294628571421</v>
      </c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  <c r="BH279" s="30"/>
      <c r="BI279" s="30"/>
      <c r="BJ279" s="30"/>
      <c r="BK279" s="30"/>
      <c r="BL279" s="30"/>
      <c r="BM279" s="30"/>
      <c r="BN279" s="30"/>
      <c r="BO279" s="30"/>
      <c r="BP279" s="30"/>
      <c r="BQ279" s="30"/>
      <c r="BR279" s="30"/>
      <c r="BS279" s="30"/>
      <c r="BT279" s="30"/>
      <c r="BU279" s="30"/>
      <c r="BV279" s="30"/>
      <c r="BW279" s="30"/>
      <c r="BX279" s="30"/>
    </row>
    <row r="280" spans="1:76" s="31" customFormat="1" ht="16.8">
      <c r="A280" s="21">
        <f>IF(H280&lt;&gt;"",1+MAX($A$8:A279),"")</f>
        <v>172</v>
      </c>
      <c r="B280" s="362"/>
      <c r="C280" s="290" t="s">
        <v>337</v>
      </c>
      <c r="D280" s="286">
        <v>116.86</v>
      </c>
      <c r="E280" s="287">
        <v>0.05</v>
      </c>
      <c r="F280" s="286">
        <f t="shared" si="202"/>
        <v>122.703</v>
      </c>
      <c r="G280" s="180" t="s">
        <v>50</v>
      </c>
      <c r="H280" s="288">
        <v>1.03435224</v>
      </c>
      <c r="I280" s="181">
        <f t="shared" si="203"/>
        <v>126.91812290472001</v>
      </c>
      <c r="J280" s="289">
        <v>3.4299999999999997</v>
      </c>
      <c r="K280" s="231">
        <f t="shared" si="204"/>
        <v>10.020745</v>
      </c>
      <c r="L280" s="231">
        <f t="shared" si="205"/>
        <v>11.661807580174928</v>
      </c>
      <c r="M280" s="165">
        <f t="shared" si="206"/>
        <v>40</v>
      </c>
      <c r="N280" s="233">
        <f t="shared" si="207"/>
        <v>400.82979999999998</v>
      </c>
      <c r="O280" s="284">
        <f t="shared" si="208"/>
        <v>527.74792290471999</v>
      </c>
      <c r="P280" s="182">
        <f t="shared" si="209"/>
        <v>4.3010189066666662</v>
      </c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  <c r="BH280" s="30"/>
      <c r="BI280" s="30"/>
      <c r="BJ280" s="30"/>
      <c r="BK280" s="30"/>
      <c r="BL280" s="30"/>
      <c r="BM280" s="30"/>
      <c r="BN280" s="30"/>
      <c r="BO280" s="30"/>
      <c r="BP280" s="30"/>
      <c r="BQ280" s="30"/>
      <c r="BR280" s="30"/>
      <c r="BS280" s="30"/>
      <c r="BT280" s="30"/>
      <c r="BU280" s="30"/>
      <c r="BV280" s="30"/>
      <c r="BW280" s="30"/>
      <c r="BX280" s="30"/>
    </row>
    <row r="281" spans="1:76" s="31" customFormat="1" ht="16.8">
      <c r="A281" s="21">
        <f>IF(H281&lt;&gt;"",1+MAX($A$8:A280),"")</f>
        <v>173</v>
      </c>
      <c r="B281" s="362"/>
      <c r="C281" s="290" t="s">
        <v>338</v>
      </c>
      <c r="D281" s="286">
        <v>62.48</v>
      </c>
      <c r="E281" s="287">
        <v>0.05</v>
      </c>
      <c r="F281" s="286">
        <f t="shared" si="202"/>
        <v>65.603999999999999</v>
      </c>
      <c r="G281" s="180" t="s">
        <v>50</v>
      </c>
      <c r="H281" s="288">
        <v>5.5295560000000004</v>
      </c>
      <c r="I281" s="181">
        <f t="shared" si="203"/>
        <v>362.76099182400003</v>
      </c>
      <c r="J281" s="289">
        <v>11.629999999999999</v>
      </c>
      <c r="K281" s="231">
        <f t="shared" si="204"/>
        <v>18.166059999999998</v>
      </c>
      <c r="L281" s="231">
        <f t="shared" si="205"/>
        <v>3.4393809114359417</v>
      </c>
      <c r="M281" s="165">
        <f t="shared" si="206"/>
        <v>40</v>
      </c>
      <c r="N281" s="233">
        <f t="shared" si="207"/>
        <v>726.64239999999995</v>
      </c>
      <c r="O281" s="284">
        <f t="shared" si="208"/>
        <v>1089.403391824</v>
      </c>
      <c r="P281" s="182">
        <f t="shared" si="209"/>
        <v>16.605746476190475</v>
      </c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  <c r="BH281" s="30"/>
      <c r="BI281" s="30"/>
      <c r="BJ281" s="30"/>
      <c r="BK281" s="30"/>
      <c r="BL281" s="30"/>
      <c r="BM281" s="30"/>
      <c r="BN281" s="30"/>
      <c r="BO281" s="30"/>
      <c r="BP281" s="30"/>
      <c r="BQ281" s="30"/>
      <c r="BR281" s="30"/>
      <c r="BS281" s="30"/>
      <c r="BT281" s="30"/>
      <c r="BU281" s="30"/>
      <c r="BV281" s="30"/>
      <c r="BW281" s="30"/>
      <c r="BX281" s="30"/>
    </row>
    <row r="282" spans="1:76" s="31" customFormat="1" ht="16.8">
      <c r="A282" s="21">
        <f>IF(H282&lt;&gt;"",1+MAX($A$8:A281),"")</f>
        <v>174</v>
      </c>
      <c r="B282" s="362"/>
      <c r="C282" s="268" t="s">
        <v>339</v>
      </c>
      <c r="D282" s="308">
        <v>210</v>
      </c>
      <c r="E282" s="270">
        <v>0.05</v>
      </c>
      <c r="F282" s="269">
        <f t="shared" si="202"/>
        <v>220.5</v>
      </c>
      <c r="G282" s="271" t="s">
        <v>51</v>
      </c>
      <c r="H282" s="288">
        <v>1.7109096799999999</v>
      </c>
      <c r="I282" s="181">
        <f t="shared" si="203"/>
        <v>377.25558443999995</v>
      </c>
      <c r="J282" s="289">
        <v>2.0399999999999996</v>
      </c>
      <c r="K282" s="231">
        <f t="shared" si="204"/>
        <v>10.709999999999997</v>
      </c>
      <c r="L282" s="231">
        <f t="shared" si="205"/>
        <v>19.607843137254907</v>
      </c>
      <c r="M282" s="165">
        <f t="shared" si="206"/>
        <v>40</v>
      </c>
      <c r="N282" s="233">
        <f t="shared" si="207"/>
        <v>428.39999999999992</v>
      </c>
      <c r="O282" s="284">
        <f t="shared" si="208"/>
        <v>805.65558443999987</v>
      </c>
      <c r="P282" s="182">
        <f t="shared" si="209"/>
        <v>3.653766822857142</v>
      </c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  <c r="BH282" s="30"/>
      <c r="BI282" s="30"/>
      <c r="BJ282" s="30"/>
      <c r="BK282" s="30"/>
      <c r="BL282" s="30"/>
      <c r="BM282" s="30"/>
      <c r="BN282" s="30"/>
      <c r="BO282" s="30"/>
      <c r="BP282" s="30"/>
      <c r="BQ282" s="30"/>
      <c r="BR282" s="30"/>
      <c r="BS282" s="30"/>
      <c r="BT282" s="30"/>
      <c r="BU282" s="30"/>
      <c r="BV282" s="30"/>
      <c r="BW282" s="30"/>
      <c r="BX282" s="30"/>
    </row>
    <row r="283" spans="1:76" s="31" customFormat="1" ht="16.8">
      <c r="A283" s="21">
        <f>IF(H283&lt;&gt;"",1+MAX($A$8:A282),"")</f>
        <v>175</v>
      </c>
      <c r="B283" s="362"/>
      <c r="C283" s="236" t="s">
        <v>340</v>
      </c>
      <c r="D283" s="234">
        <v>21</v>
      </c>
      <c r="E283" s="235">
        <v>0.05</v>
      </c>
      <c r="F283" s="234">
        <f t="shared" si="202"/>
        <v>22.05</v>
      </c>
      <c r="G283" s="180" t="s">
        <v>51</v>
      </c>
      <c r="H283" s="288">
        <v>1.5547810400000002</v>
      </c>
      <c r="I283" s="181">
        <f t="shared" si="203"/>
        <v>34.282921932000008</v>
      </c>
      <c r="J283" s="289">
        <v>1.86</v>
      </c>
      <c r="K283" s="231">
        <f t="shared" si="204"/>
        <v>0.97650000000000003</v>
      </c>
      <c r="L283" s="231">
        <f t="shared" si="205"/>
        <v>21.50537634408602</v>
      </c>
      <c r="M283" s="165">
        <f t="shared" si="206"/>
        <v>40</v>
      </c>
      <c r="N283" s="233">
        <f t="shared" si="207"/>
        <v>39.06</v>
      </c>
      <c r="O283" s="284">
        <f t="shared" si="208"/>
        <v>73.34292193200001</v>
      </c>
      <c r="P283" s="182">
        <f t="shared" si="209"/>
        <v>3.3262096114285717</v>
      </c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  <c r="BH283" s="30"/>
      <c r="BI283" s="30"/>
      <c r="BJ283" s="30"/>
      <c r="BK283" s="30"/>
      <c r="BL283" s="30"/>
      <c r="BM283" s="30"/>
      <c r="BN283" s="30"/>
      <c r="BO283" s="30"/>
      <c r="BP283" s="30"/>
      <c r="BQ283" s="30"/>
      <c r="BR283" s="30"/>
      <c r="BS283" s="30"/>
      <c r="BT283" s="30"/>
      <c r="BU283" s="30"/>
      <c r="BV283" s="30"/>
      <c r="BW283" s="30"/>
      <c r="BX283" s="30"/>
    </row>
    <row r="284" spans="1:76" s="31" customFormat="1" ht="16.8">
      <c r="A284" s="21">
        <f>IF(H284&lt;&gt;"",1+MAX($A$8:A283),"")</f>
        <v>176</v>
      </c>
      <c r="B284" s="362"/>
      <c r="C284" s="236" t="s">
        <v>341</v>
      </c>
      <c r="D284" s="234">
        <v>244</v>
      </c>
      <c r="E284" s="235">
        <v>0.05</v>
      </c>
      <c r="F284" s="234">
        <f t="shared" si="202"/>
        <v>256.2</v>
      </c>
      <c r="G284" s="180" t="s">
        <v>51</v>
      </c>
      <c r="H284" s="288">
        <v>1.5547810400000002</v>
      </c>
      <c r="I284" s="181">
        <f t="shared" si="203"/>
        <v>398.33490244800004</v>
      </c>
      <c r="J284" s="289">
        <v>1.86</v>
      </c>
      <c r="K284" s="231">
        <f t="shared" si="204"/>
        <v>11.346</v>
      </c>
      <c r="L284" s="231">
        <f t="shared" si="205"/>
        <v>21.50537634408602</v>
      </c>
      <c r="M284" s="165">
        <f t="shared" si="206"/>
        <v>40</v>
      </c>
      <c r="N284" s="233">
        <f t="shared" si="207"/>
        <v>453.84000000000003</v>
      </c>
      <c r="O284" s="284">
        <f t="shared" si="208"/>
        <v>852.17490244800001</v>
      </c>
      <c r="P284" s="182">
        <f t="shared" si="209"/>
        <v>3.3262096114285717</v>
      </c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  <c r="BH284" s="30"/>
      <c r="BI284" s="30"/>
      <c r="BJ284" s="30"/>
      <c r="BK284" s="30"/>
      <c r="BL284" s="30"/>
      <c r="BM284" s="30"/>
      <c r="BN284" s="30"/>
      <c r="BO284" s="30"/>
      <c r="BP284" s="30"/>
      <c r="BQ284" s="30"/>
      <c r="BR284" s="30"/>
      <c r="BS284" s="30"/>
      <c r="BT284" s="30"/>
      <c r="BU284" s="30"/>
      <c r="BV284" s="30"/>
      <c r="BW284" s="30"/>
      <c r="BX284" s="30"/>
    </row>
    <row r="285" spans="1:76" s="31" customFormat="1" ht="16.8">
      <c r="A285" s="21">
        <f>IF(H285&lt;&gt;"",1+MAX($A$8:A284),"")</f>
        <v>177</v>
      </c>
      <c r="B285" s="362"/>
      <c r="C285" s="236" t="s">
        <v>342</v>
      </c>
      <c r="D285" s="234">
        <v>138.25</v>
      </c>
      <c r="E285" s="235">
        <v>0.05</v>
      </c>
      <c r="F285" s="234">
        <f t="shared" si="202"/>
        <v>145.16249999999999</v>
      </c>
      <c r="G285" s="180" t="s">
        <v>51</v>
      </c>
      <c r="H285" s="288">
        <v>1.5547810400000002</v>
      </c>
      <c r="I285" s="181">
        <f t="shared" si="203"/>
        <v>225.695902719</v>
      </c>
      <c r="J285" s="289">
        <v>1.86</v>
      </c>
      <c r="K285" s="231">
        <f t="shared" si="204"/>
        <v>6.4286250000000011</v>
      </c>
      <c r="L285" s="231">
        <f t="shared" si="205"/>
        <v>21.505376344086017</v>
      </c>
      <c r="M285" s="165">
        <f t="shared" si="206"/>
        <v>40</v>
      </c>
      <c r="N285" s="233">
        <f t="shared" si="207"/>
        <v>257.14500000000004</v>
      </c>
      <c r="O285" s="284">
        <f t="shared" si="208"/>
        <v>482.84090271900004</v>
      </c>
      <c r="P285" s="182">
        <f t="shared" si="209"/>
        <v>3.3262096114285717</v>
      </c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  <c r="BH285" s="30"/>
      <c r="BI285" s="30"/>
      <c r="BJ285" s="30"/>
      <c r="BK285" s="30"/>
      <c r="BL285" s="30"/>
      <c r="BM285" s="30"/>
      <c r="BN285" s="30"/>
      <c r="BO285" s="30"/>
      <c r="BP285" s="30"/>
      <c r="BQ285" s="30"/>
      <c r="BR285" s="30"/>
      <c r="BS285" s="30"/>
      <c r="BT285" s="30"/>
      <c r="BU285" s="30"/>
      <c r="BV285" s="30"/>
      <c r="BW285" s="30"/>
      <c r="BX285" s="30"/>
    </row>
    <row r="286" spans="1:76" s="31" customFormat="1" ht="16.8">
      <c r="A286" s="21">
        <f>IF(H286&lt;&gt;"",1+MAX($A$8:A285),"")</f>
        <v>178</v>
      </c>
      <c r="B286" s="362"/>
      <c r="C286" s="236" t="s">
        <v>343</v>
      </c>
      <c r="D286" s="234">
        <v>88.7</v>
      </c>
      <c r="E286" s="235">
        <v>0.05</v>
      </c>
      <c r="F286" s="234">
        <f t="shared" si="202"/>
        <v>93.135000000000005</v>
      </c>
      <c r="G286" s="180" t="s">
        <v>51</v>
      </c>
      <c r="H286" s="288">
        <v>2.3028974400000002</v>
      </c>
      <c r="I286" s="181">
        <f t="shared" si="203"/>
        <v>214.48035307440003</v>
      </c>
      <c r="J286" s="289">
        <v>2.3299999999999996</v>
      </c>
      <c r="K286" s="231">
        <f t="shared" si="204"/>
        <v>5.1667749999999995</v>
      </c>
      <c r="L286" s="231">
        <f t="shared" si="205"/>
        <v>17.167381974248929</v>
      </c>
      <c r="M286" s="165">
        <f t="shared" si="206"/>
        <v>40</v>
      </c>
      <c r="N286" s="233">
        <f t="shared" si="207"/>
        <v>206.67099999999996</v>
      </c>
      <c r="O286" s="284">
        <f t="shared" si="208"/>
        <v>421.15135307439999</v>
      </c>
      <c r="P286" s="182">
        <f t="shared" si="209"/>
        <v>4.5219450590476189</v>
      </c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  <c r="BH286" s="30"/>
      <c r="BI286" s="30"/>
      <c r="BJ286" s="30"/>
      <c r="BK286" s="30"/>
      <c r="BL286" s="30"/>
      <c r="BM286" s="30"/>
      <c r="BN286" s="30"/>
      <c r="BO286" s="30"/>
      <c r="BP286" s="30"/>
      <c r="BQ286" s="30"/>
      <c r="BR286" s="30"/>
      <c r="BS286" s="30"/>
      <c r="BT286" s="30"/>
      <c r="BU286" s="30"/>
      <c r="BV286" s="30"/>
      <c r="BW286" s="30"/>
      <c r="BX286" s="30"/>
    </row>
    <row r="287" spans="1:76" s="31" customFormat="1" ht="16.8">
      <c r="A287" s="21">
        <f>IF(H287&lt;&gt;"",1+MAX($A$8:A286),"")</f>
        <v>179</v>
      </c>
      <c r="B287" s="362"/>
      <c r="C287" s="236" t="s">
        <v>344</v>
      </c>
      <c r="D287" s="234">
        <v>27.1</v>
      </c>
      <c r="E287" s="235">
        <v>0.05</v>
      </c>
      <c r="F287" s="234">
        <f t="shared" si="202"/>
        <v>28.455000000000002</v>
      </c>
      <c r="G287" s="180" t="s">
        <v>51</v>
      </c>
      <c r="H287" s="288">
        <v>2.7322512000000003</v>
      </c>
      <c r="I287" s="181">
        <f t="shared" si="203"/>
        <v>77.746207896000016</v>
      </c>
      <c r="J287" s="289">
        <v>2.4499999999999997</v>
      </c>
      <c r="K287" s="231">
        <f t="shared" si="204"/>
        <v>1.659875</v>
      </c>
      <c r="L287" s="231">
        <f t="shared" si="205"/>
        <v>16.326530612244898</v>
      </c>
      <c r="M287" s="165">
        <f t="shared" si="206"/>
        <v>40</v>
      </c>
      <c r="N287" s="233">
        <f t="shared" si="207"/>
        <v>66.394999999999996</v>
      </c>
      <c r="O287" s="284">
        <f t="shared" si="208"/>
        <v>144.14120789600003</v>
      </c>
      <c r="P287" s="182">
        <f t="shared" si="209"/>
        <v>5.0655845333333342</v>
      </c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  <c r="BH287" s="30"/>
      <c r="BI287" s="30"/>
      <c r="BJ287" s="30"/>
      <c r="BK287" s="30"/>
      <c r="BL287" s="30"/>
      <c r="BM287" s="30"/>
      <c r="BN287" s="30"/>
      <c r="BO287" s="30"/>
      <c r="BP287" s="30"/>
      <c r="BQ287" s="30"/>
      <c r="BR287" s="30"/>
      <c r="BS287" s="30"/>
      <c r="BT287" s="30"/>
      <c r="BU287" s="30"/>
      <c r="BV287" s="30"/>
      <c r="BW287" s="30"/>
      <c r="BX287" s="30"/>
    </row>
    <row r="288" spans="1:76" s="31" customFormat="1" ht="16.8">
      <c r="A288" s="21">
        <f>IF(H288&lt;&gt;"",1+MAX($A$8:A287),"")</f>
        <v>180</v>
      </c>
      <c r="B288" s="362"/>
      <c r="C288" s="236" t="s">
        <v>345</v>
      </c>
      <c r="D288" s="234">
        <v>66.09</v>
      </c>
      <c r="E288" s="235">
        <v>0.05</v>
      </c>
      <c r="F288" s="234">
        <f t="shared" si="202"/>
        <v>69.394500000000008</v>
      </c>
      <c r="G288" s="180" t="s">
        <v>51</v>
      </c>
      <c r="H288" s="288">
        <v>5.2823523199999993</v>
      </c>
      <c r="I288" s="181">
        <f t="shared" si="203"/>
        <v>366.56619807023998</v>
      </c>
      <c r="J288" s="289">
        <v>3.96</v>
      </c>
      <c r="K288" s="231">
        <f t="shared" si="204"/>
        <v>6.5429100000000009</v>
      </c>
      <c r="L288" s="231">
        <f t="shared" si="205"/>
        <v>10.1010101010101</v>
      </c>
      <c r="M288" s="165">
        <f t="shared" si="206"/>
        <v>40</v>
      </c>
      <c r="N288" s="233">
        <f t="shared" si="207"/>
        <v>261.71640000000002</v>
      </c>
      <c r="O288" s="284">
        <f t="shared" si="208"/>
        <v>628.28259807024006</v>
      </c>
      <c r="P288" s="182">
        <f t="shared" si="209"/>
        <v>9.0537808914285716</v>
      </c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  <c r="BH288" s="30"/>
      <c r="BI288" s="30"/>
      <c r="BJ288" s="30"/>
      <c r="BK288" s="30"/>
      <c r="BL288" s="30"/>
      <c r="BM288" s="30"/>
      <c r="BN288" s="30"/>
      <c r="BO288" s="30"/>
      <c r="BP288" s="30"/>
      <c r="BQ288" s="30"/>
      <c r="BR288" s="30"/>
      <c r="BS288" s="30"/>
      <c r="BT288" s="30"/>
      <c r="BU288" s="30"/>
      <c r="BV288" s="30"/>
      <c r="BW288" s="30"/>
      <c r="BX288" s="30"/>
    </row>
    <row r="289" spans="1:76" s="31" customFormat="1" ht="16.8">
      <c r="A289" s="21">
        <f>IF(H289&lt;&gt;"",1+MAX($A$8:A288),"")</f>
        <v>181</v>
      </c>
      <c r="B289" s="362"/>
      <c r="C289" s="268" t="s">
        <v>317</v>
      </c>
      <c r="D289" s="269">
        <v>210</v>
      </c>
      <c r="E289" s="235">
        <v>0.05</v>
      </c>
      <c r="F289" s="269">
        <f>(1+E289)*D289</f>
        <v>220.5</v>
      </c>
      <c r="G289" s="271" t="s">
        <v>51</v>
      </c>
      <c r="H289" s="288">
        <v>1.0083308</v>
      </c>
      <c r="I289" s="181">
        <f t="shared" si="203"/>
        <v>222.3369414</v>
      </c>
      <c r="J289" s="289">
        <v>1.75</v>
      </c>
      <c r="K289" s="231">
        <f t="shared" ref="K289" si="210">N289/M289</f>
        <v>9.1875</v>
      </c>
      <c r="L289" s="231">
        <f t="shared" si="205"/>
        <v>22.857142857142858</v>
      </c>
      <c r="M289" s="165">
        <f t="shared" si="206"/>
        <v>40</v>
      </c>
      <c r="N289" s="233">
        <f t="shared" si="207"/>
        <v>367.5</v>
      </c>
      <c r="O289" s="284">
        <f t="shared" si="208"/>
        <v>589.8369414</v>
      </c>
      <c r="P289" s="182">
        <f t="shared" si="209"/>
        <v>2.6749974666666665</v>
      </c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  <c r="BH289" s="30"/>
      <c r="BI289" s="30"/>
      <c r="BJ289" s="30"/>
      <c r="BK289" s="30"/>
      <c r="BL289" s="30"/>
      <c r="BM289" s="30"/>
      <c r="BN289" s="30"/>
      <c r="BO289" s="30"/>
      <c r="BP289" s="30"/>
      <c r="BQ289" s="30"/>
      <c r="BR289" s="30"/>
      <c r="BS289" s="30"/>
      <c r="BT289" s="30"/>
      <c r="BU289" s="30"/>
      <c r="BV289" s="30"/>
      <c r="BW289" s="30"/>
      <c r="BX289" s="30"/>
    </row>
    <row r="290" spans="1:76" s="31" customFormat="1" ht="16.8">
      <c r="A290" s="21">
        <f>IF(H290&lt;&gt;"",1+MAX($A$8:A289),"")</f>
        <v>182</v>
      </c>
      <c r="B290" s="363"/>
      <c r="C290" s="268" t="s">
        <v>315</v>
      </c>
      <c r="D290" s="308">
        <v>204.84</v>
      </c>
      <c r="E290" s="270">
        <v>0.05</v>
      </c>
      <c r="F290" s="269">
        <f t="shared" ref="F290" si="211">(1+E290)*D290</f>
        <v>215.08200000000002</v>
      </c>
      <c r="G290" s="271" t="s">
        <v>51</v>
      </c>
      <c r="H290" s="288">
        <v>2.4525207199999999</v>
      </c>
      <c r="I290" s="181">
        <f t="shared" si="203"/>
        <v>527.49306149903998</v>
      </c>
      <c r="J290" s="289">
        <v>2.6199999999999997</v>
      </c>
      <c r="K290" s="231">
        <f t="shared" ref="K290" si="212">N290/M290</f>
        <v>13.417019999999999</v>
      </c>
      <c r="L290" s="231">
        <f t="shared" si="205"/>
        <v>15.267175572519085</v>
      </c>
      <c r="M290" s="165">
        <f t="shared" si="206"/>
        <v>40</v>
      </c>
      <c r="N290" s="233">
        <f t="shared" si="207"/>
        <v>536.68079999999998</v>
      </c>
      <c r="O290" s="284">
        <f t="shared" si="208"/>
        <v>1064.17386149904</v>
      </c>
      <c r="P290" s="182">
        <f t="shared" si="209"/>
        <v>4.9477588152380942</v>
      </c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  <c r="BH290" s="30"/>
      <c r="BI290" s="30"/>
      <c r="BJ290" s="30"/>
      <c r="BK290" s="30"/>
      <c r="BL290" s="30"/>
      <c r="BM290" s="30"/>
      <c r="BN290" s="30"/>
      <c r="BO290" s="30"/>
      <c r="BP290" s="30"/>
      <c r="BQ290" s="30"/>
      <c r="BR290" s="30"/>
      <c r="BS290" s="30"/>
      <c r="BT290" s="30"/>
      <c r="BU290" s="30"/>
      <c r="BV290" s="30"/>
      <c r="BW290" s="30"/>
      <c r="BX290" s="30"/>
    </row>
    <row r="291" spans="1:76" s="31" customFormat="1" ht="16.8">
      <c r="A291" s="21" t="str">
        <f>IF(H291&lt;&gt;"",1+MAX($A$8:A290),"")</f>
        <v/>
      </c>
      <c r="B291" s="38"/>
      <c r="C291" s="42"/>
      <c r="D291" s="25"/>
      <c r="E291" s="24"/>
      <c r="F291" s="25"/>
      <c r="G291" s="158"/>
      <c r="H291" s="319"/>
      <c r="I291" s="27"/>
      <c r="J291" s="139"/>
      <c r="K291" s="135"/>
      <c r="L291" s="164"/>
      <c r="M291" s="165"/>
      <c r="N291" s="166"/>
      <c r="O291" s="331"/>
      <c r="P291" s="167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  <c r="BH291" s="30"/>
      <c r="BI291" s="30"/>
      <c r="BJ291" s="30"/>
      <c r="BK291" s="30"/>
      <c r="BL291" s="30"/>
      <c r="BM291" s="30"/>
      <c r="BN291" s="30"/>
      <c r="BO291" s="30"/>
      <c r="BP291" s="30"/>
      <c r="BQ291" s="30"/>
      <c r="BR291" s="30"/>
      <c r="BS291" s="30"/>
      <c r="BT291" s="30"/>
      <c r="BU291" s="30"/>
      <c r="BV291" s="30"/>
      <c r="BW291" s="30"/>
      <c r="BX291" s="30"/>
    </row>
    <row r="292" spans="1:76" s="33" customFormat="1" ht="19.2">
      <c r="A292" s="263" t="str">
        <f>IF(H292&lt;&gt;"",1+MAX($A$8:A291),"")</f>
        <v/>
      </c>
      <c r="B292" s="359" t="s">
        <v>68</v>
      </c>
      <c r="C292" s="360"/>
      <c r="D292" s="360"/>
      <c r="E292" s="360"/>
      <c r="F292" s="360"/>
      <c r="G292" s="360"/>
      <c r="H292" s="360"/>
      <c r="I292" s="360"/>
      <c r="J292" s="360"/>
      <c r="K292" s="360"/>
      <c r="L292" s="360"/>
      <c r="M292" s="261">
        <v>35</v>
      </c>
      <c r="N292" s="262"/>
      <c r="O292" s="282">
        <f>SUM(O293:O304)</f>
        <v>3837.9343155012798</v>
      </c>
      <c r="P292" s="263"/>
      <c r="Q292" s="30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  <c r="AW292" s="32"/>
      <c r="AX292" s="32"/>
      <c r="AY292" s="32"/>
      <c r="AZ292" s="32"/>
      <c r="BA292" s="32"/>
      <c r="BB292" s="32"/>
      <c r="BC292" s="32"/>
      <c r="BD292" s="32"/>
      <c r="BE292" s="32"/>
      <c r="BF292" s="32"/>
      <c r="BG292" s="32"/>
      <c r="BH292" s="32"/>
      <c r="BI292" s="32"/>
      <c r="BJ292" s="32"/>
      <c r="BK292" s="32"/>
      <c r="BL292" s="32"/>
      <c r="BM292" s="32"/>
      <c r="BN292" s="32"/>
      <c r="BO292" s="32"/>
      <c r="BP292" s="32"/>
      <c r="BQ292" s="32"/>
    </row>
    <row r="293" spans="1:76" s="31" customFormat="1" ht="16.8">
      <c r="A293" s="21" t="str">
        <f>IF(H293&lt;&gt;"",1+MAX($A$8:A292),"")</f>
        <v/>
      </c>
      <c r="B293" s="267"/>
      <c r="C293" s="236"/>
      <c r="D293" s="234"/>
      <c r="E293" s="235"/>
      <c r="F293" s="234"/>
      <c r="G293" s="180"/>
      <c r="H293" s="283"/>
      <c r="I293" s="181"/>
      <c r="J293" s="283"/>
      <c r="K293" s="181"/>
      <c r="L293" s="231"/>
      <c r="M293" s="232"/>
      <c r="N293" s="233"/>
      <c r="O293" s="284"/>
      <c r="P293" s="182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  <c r="BH293" s="30"/>
      <c r="BI293" s="30"/>
      <c r="BJ293" s="30"/>
      <c r="BK293" s="30"/>
      <c r="BL293" s="30"/>
      <c r="BM293" s="30"/>
      <c r="BN293" s="30"/>
      <c r="BO293" s="30"/>
      <c r="BP293" s="30"/>
      <c r="BQ293" s="30"/>
      <c r="BR293" s="30"/>
      <c r="BS293" s="30"/>
      <c r="BT293" s="30"/>
      <c r="BU293" s="30"/>
      <c r="BV293" s="30"/>
      <c r="BW293" s="30"/>
      <c r="BX293" s="30"/>
    </row>
    <row r="294" spans="1:76" s="31" customFormat="1" ht="16.8">
      <c r="A294" s="21" t="str">
        <f>IF(H294&lt;&gt;"",1+MAX($A$8:A293),"")</f>
        <v/>
      </c>
      <c r="B294" s="361" t="s">
        <v>294</v>
      </c>
      <c r="C294" s="179" t="s">
        <v>69</v>
      </c>
      <c r="D294" s="234"/>
      <c r="E294" s="230"/>
      <c r="F294" s="230"/>
      <c r="G294" s="180"/>
      <c r="H294" s="283"/>
      <c r="I294" s="181"/>
      <c r="J294" s="283"/>
      <c r="K294" s="181"/>
      <c r="L294" s="231"/>
      <c r="M294" s="232"/>
      <c r="N294" s="233"/>
      <c r="O294" s="284"/>
      <c r="P294" s="182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  <c r="BH294" s="30"/>
      <c r="BI294" s="30"/>
      <c r="BJ294" s="30"/>
      <c r="BK294" s="30"/>
      <c r="BL294" s="30"/>
      <c r="BM294" s="30"/>
      <c r="BN294" s="30"/>
      <c r="BO294" s="30"/>
      <c r="BP294" s="30"/>
      <c r="BQ294" s="30"/>
      <c r="BR294" s="30"/>
      <c r="BS294" s="30"/>
      <c r="BT294" s="30"/>
      <c r="BU294" s="30"/>
      <c r="BV294" s="30"/>
      <c r="BW294" s="30"/>
      <c r="BX294" s="30"/>
    </row>
    <row r="295" spans="1:76" s="31" customFormat="1" ht="16.8">
      <c r="A295" s="307">
        <f>IF(H295&lt;&gt;"",1+MAX($A$8:A294),"")</f>
        <v>183</v>
      </c>
      <c r="B295" s="362"/>
      <c r="C295" s="236" t="s">
        <v>346</v>
      </c>
      <c r="D295" s="234">
        <v>2</v>
      </c>
      <c r="E295" s="235">
        <v>0</v>
      </c>
      <c r="F295" s="234">
        <f t="shared" ref="F295:F301" si="213">(1+E295)*D295</f>
        <v>2</v>
      </c>
      <c r="G295" s="180" t="s">
        <v>52</v>
      </c>
      <c r="H295" s="288">
        <v>18.449200959999999</v>
      </c>
      <c r="I295" s="181">
        <f t="shared" ref="I295:I301" si="214">H295*F295</f>
        <v>36.898401919999998</v>
      </c>
      <c r="J295" s="289">
        <v>36.04</v>
      </c>
      <c r="K295" s="231">
        <f t="shared" ref="K295:K301" si="215">N295/M295</f>
        <v>2.0594285714285712</v>
      </c>
      <c r="L295" s="231">
        <f t="shared" ref="L295:L301" si="216">D295/K295</f>
        <v>0.97114317425083252</v>
      </c>
      <c r="M295" s="232">
        <f>$M$292</f>
        <v>35</v>
      </c>
      <c r="N295" s="233">
        <f t="shared" ref="N295:N301" si="217">D295*J295</f>
        <v>72.08</v>
      </c>
      <c r="O295" s="284">
        <f t="shared" ref="O295:O301" si="218">N295+I295</f>
        <v>108.97840192</v>
      </c>
      <c r="P295" s="182">
        <f t="shared" ref="P295:P301" si="219">O295/F295</f>
        <v>54.489200959999998</v>
      </c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  <c r="BH295" s="30"/>
      <c r="BI295" s="30"/>
      <c r="BJ295" s="30"/>
      <c r="BK295" s="30"/>
      <c r="BL295" s="30"/>
      <c r="BM295" s="30"/>
      <c r="BN295" s="30"/>
      <c r="BO295" s="30"/>
      <c r="BP295" s="30"/>
      <c r="BQ295" s="30"/>
      <c r="BR295" s="30"/>
      <c r="BS295" s="30"/>
      <c r="BT295" s="30"/>
      <c r="BU295" s="30"/>
      <c r="BV295" s="30"/>
      <c r="BW295" s="30"/>
      <c r="BX295" s="30"/>
    </row>
    <row r="296" spans="1:76" s="31" customFormat="1" ht="16.8">
      <c r="A296" s="307">
        <f>IF(H296&lt;&gt;"",1+MAX($A$8:A295),"")</f>
        <v>184</v>
      </c>
      <c r="B296" s="362"/>
      <c r="C296" s="236" t="s">
        <v>347</v>
      </c>
      <c r="D296" s="234">
        <v>2</v>
      </c>
      <c r="E296" s="235">
        <v>0</v>
      </c>
      <c r="F296" s="234">
        <f t="shared" si="213"/>
        <v>2</v>
      </c>
      <c r="G296" s="180" t="s">
        <v>52</v>
      </c>
      <c r="H296" s="288">
        <v>21.370107600000001</v>
      </c>
      <c r="I296" s="181">
        <f t="shared" si="214"/>
        <v>42.740215200000002</v>
      </c>
      <c r="J296" s="289">
        <v>36.04</v>
      </c>
      <c r="K296" s="231">
        <f t="shared" si="215"/>
        <v>2.0594285714285712</v>
      </c>
      <c r="L296" s="231">
        <f t="shared" si="216"/>
        <v>0.97114317425083252</v>
      </c>
      <c r="M296" s="232">
        <f t="shared" ref="M296:M303" si="220">$M$292</f>
        <v>35</v>
      </c>
      <c r="N296" s="233">
        <f t="shared" si="217"/>
        <v>72.08</v>
      </c>
      <c r="O296" s="284">
        <f t="shared" si="218"/>
        <v>114.82021520000001</v>
      </c>
      <c r="P296" s="182">
        <f t="shared" si="219"/>
        <v>57.410107600000003</v>
      </c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  <c r="BH296" s="30"/>
      <c r="BI296" s="30"/>
      <c r="BJ296" s="30"/>
      <c r="BK296" s="30"/>
      <c r="BL296" s="30"/>
      <c r="BM296" s="30"/>
      <c r="BN296" s="30"/>
      <c r="BO296" s="30"/>
      <c r="BP296" s="30"/>
      <c r="BQ296" s="30"/>
      <c r="BR296" s="30"/>
      <c r="BS296" s="30"/>
      <c r="BT296" s="30"/>
      <c r="BU296" s="30"/>
      <c r="BV296" s="30"/>
      <c r="BW296" s="30"/>
      <c r="BX296" s="30"/>
    </row>
    <row r="297" spans="1:76" s="31" customFormat="1" ht="16.8">
      <c r="A297" s="307">
        <f>IF(H297&lt;&gt;"",1+MAX($A$8:A296),"")</f>
        <v>185</v>
      </c>
      <c r="B297" s="362"/>
      <c r="C297" s="236" t="s">
        <v>348</v>
      </c>
      <c r="D297" s="234">
        <v>2</v>
      </c>
      <c r="E297" s="235">
        <v>0</v>
      </c>
      <c r="F297" s="234">
        <f t="shared" si="213"/>
        <v>2</v>
      </c>
      <c r="G297" s="180" t="s">
        <v>52</v>
      </c>
      <c r="H297" s="288">
        <v>18.449200959999999</v>
      </c>
      <c r="I297" s="181">
        <f t="shared" si="214"/>
        <v>36.898401919999998</v>
      </c>
      <c r="J297" s="289">
        <v>36.04</v>
      </c>
      <c r="K297" s="231">
        <f t="shared" si="215"/>
        <v>2.0594285714285712</v>
      </c>
      <c r="L297" s="231">
        <f t="shared" si="216"/>
        <v>0.97114317425083252</v>
      </c>
      <c r="M297" s="232">
        <f t="shared" si="220"/>
        <v>35</v>
      </c>
      <c r="N297" s="233">
        <f t="shared" si="217"/>
        <v>72.08</v>
      </c>
      <c r="O297" s="284">
        <f t="shared" si="218"/>
        <v>108.97840192</v>
      </c>
      <c r="P297" s="182">
        <f t="shared" si="219"/>
        <v>54.489200959999998</v>
      </c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  <c r="BH297" s="30"/>
      <c r="BI297" s="30"/>
      <c r="BJ297" s="30"/>
      <c r="BK297" s="30"/>
      <c r="BL297" s="30"/>
      <c r="BM297" s="30"/>
      <c r="BN297" s="30"/>
      <c r="BO297" s="30"/>
      <c r="BP297" s="30"/>
      <c r="BQ297" s="30"/>
      <c r="BR297" s="30"/>
      <c r="BS297" s="30"/>
      <c r="BT297" s="30"/>
      <c r="BU297" s="30"/>
      <c r="BV297" s="30"/>
      <c r="BW297" s="30"/>
      <c r="BX297" s="30"/>
    </row>
    <row r="298" spans="1:76" s="31" customFormat="1" ht="16.8">
      <c r="A298" s="307">
        <f>IF(H298&lt;&gt;"",1+MAX($A$8:A297),"")</f>
        <v>186</v>
      </c>
      <c r="B298" s="362"/>
      <c r="C298" s="236" t="s">
        <v>138</v>
      </c>
      <c r="D298" s="234">
        <v>2</v>
      </c>
      <c r="E298" s="235">
        <v>0</v>
      </c>
      <c r="F298" s="234">
        <f t="shared" si="213"/>
        <v>2</v>
      </c>
      <c r="G298" s="180" t="s">
        <v>52</v>
      </c>
      <c r="H298" s="288">
        <v>30.00922568</v>
      </c>
      <c r="I298" s="181">
        <f t="shared" si="214"/>
        <v>60.01845136</v>
      </c>
      <c r="J298" s="289">
        <v>31.970000000000002</v>
      </c>
      <c r="K298" s="231">
        <f t="shared" si="215"/>
        <v>1.826857142857143</v>
      </c>
      <c r="L298" s="231">
        <f t="shared" si="216"/>
        <v>1.0947763528307788</v>
      </c>
      <c r="M298" s="232">
        <f t="shared" si="220"/>
        <v>35</v>
      </c>
      <c r="N298" s="233">
        <f t="shared" si="217"/>
        <v>63.940000000000005</v>
      </c>
      <c r="O298" s="284">
        <f t="shared" si="218"/>
        <v>123.95845136</v>
      </c>
      <c r="P298" s="182">
        <f t="shared" si="219"/>
        <v>61.979225679999999</v>
      </c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  <c r="BH298" s="30"/>
      <c r="BI298" s="30"/>
      <c r="BJ298" s="30"/>
      <c r="BK298" s="30"/>
      <c r="BL298" s="30"/>
      <c r="BM298" s="30"/>
      <c r="BN298" s="30"/>
      <c r="BO298" s="30"/>
      <c r="BP298" s="30"/>
      <c r="BQ298" s="30"/>
      <c r="BR298" s="30"/>
      <c r="BS298" s="30"/>
      <c r="BT298" s="30"/>
      <c r="BU298" s="30"/>
      <c r="BV298" s="30"/>
      <c r="BW298" s="30"/>
      <c r="BX298" s="30"/>
    </row>
    <row r="299" spans="1:76" s="31" customFormat="1" ht="16.8">
      <c r="A299" s="307">
        <f>IF(H299&lt;&gt;"",1+MAX($A$8:A298),"")</f>
        <v>187</v>
      </c>
      <c r="B299" s="362"/>
      <c r="C299" s="236" t="s">
        <v>349</v>
      </c>
      <c r="D299" s="234">
        <v>2</v>
      </c>
      <c r="E299" s="235">
        <v>0</v>
      </c>
      <c r="F299" s="234">
        <f t="shared" si="213"/>
        <v>2</v>
      </c>
      <c r="G299" s="180" t="s">
        <v>52</v>
      </c>
      <c r="H299" s="288">
        <v>96.279328000000007</v>
      </c>
      <c r="I299" s="181">
        <f t="shared" si="214"/>
        <v>192.55865600000001</v>
      </c>
      <c r="J299" s="289">
        <v>95.9</v>
      </c>
      <c r="K299" s="231">
        <f t="shared" si="215"/>
        <v>5.48</v>
      </c>
      <c r="L299" s="231">
        <f t="shared" si="216"/>
        <v>0.36496350364963503</v>
      </c>
      <c r="M299" s="232">
        <f t="shared" si="220"/>
        <v>35</v>
      </c>
      <c r="N299" s="233">
        <f t="shared" si="217"/>
        <v>191.8</v>
      </c>
      <c r="O299" s="284">
        <f t="shared" si="218"/>
        <v>384.358656</v>
      </c>
      <c r="P299" s="182">
        <f t="shared" si="219"/>
        <v>192.179328</v>
      </c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  <c r="BH299" s="30"/>
      <c r="BI299" s="30"/>
      <c r="BJ299" s="30"/>
      <c r="BK299" s="30"/>
      <c r="BL299" s="30"/>
      <c r="BM299" s="30"/>
      <c r="BN299" s="30"/>
      <c r="BO299" s="30"/>
      <c r="BP299" s="30"/>
      <c r="BQ299" s="30"/>
      <c r="BR299" s="30"/>
      <c r="BS299" s="30"/>
      <c r="BT299" s="30"/>
      <c r="BU299" s="30"/>
      <c r="BV299" s="30"/>
      <c r="BW299" s="30"/>
      <c r="BX299" s="30"/>
    </row>
    <row r="300" spans="1:76" s="31" customFormat="1" ht="16.8">
      <c r="A300" s="307">
        <f>IF(H300&lt;&gt;"",1+MAX($A$8:A299),"")</f>
        <v>188</v>
      </c>
      <c r="B300" s="362"/>
      <c r="C300" s="236" t="s">
        <v>70</v>
      </c>
      <c r="D300" s="234">
        <v>2</v>
      </c>
      <c r="E300" s="235">
        <v>0</v>
      </c>
      <c r="F300" s="234">
        <f t="shared" si="213"/>
        <v>2</v>
      </c>
      <c r="G300" s="180" t="s">
        <v>52</v>
      </c>
      <c r="H300" s="288">
        <v>25.045636000000002</v>
      </c>
      <c r="I300" s="181">
        <f t="shared" si="214"/>
        <v>50.091272000000004</v>
      </c>
      <c r="J300" s="289">
        <v>22.09</v>
      </c>
      <c r="K300" s="231">
        <f t="shared" si="215"/>
        <v>1.2622857142857142</v>
      </c>
      <c r="L300" s="231">
        <f t="shared" si="216"/>
        <v>1.5844273426889997</v>
      </c>
      <c r="M300" s="232">
        <f t="shared" si="220"/>
        <v>35</v>
      </c>
      <c r="N300" s="233">
        <f t="shared" si="217"/>
        <v>44.18</v>
      </c>
      <c r="O300" s="284">
        <f t="shared" si="218"/>
        <v>94.27127200000001</v>
      </c>
      <c r="P300" s="182">
        <f t="shared" si="219"/>
        <v>47.135636000000005</v>
      </c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  <c r="BH300" s="30"/>
      <c r="BI300" s="30"/>
      <c r="BJ300" s="30"/>
      <c r="BK300" s="30"/>
      <c r="BL300" s="30"/>
      <c r="BM300" s="30"/>
      <c r="BN300" s="30"/>
      <c r="BO300" s="30"/>
      <c r="BP300" s="30"/>
      <c r="BQ300" s="30"/>
      <c r="BR300" s="30"/>
      <c r="BS300" s="30"/>
      <c r="BT300" s="30"/>
      <c r="BU300" s="30"/>
      <c r="BV300" s="30"/>
      <c r="BW300" s="30"/>
      <c r="BX300" s="30"/>
    </row>
    <row r="301" spans="1:76" s="31" customFormat="1" ht="16.8">
      <c r="A301" s="307">
        <f>IF(H301&lt;&gt;"",1+MAX($A$8:A300),"")</f>
        <v>189</v>
      </c>
      <c r="B301" s="363"/>
      <c r="C301" s="236" t="s">
        <v>139</v>
      </c>
      <c r="D301" s="234">
        <v>2</v>
      </c>
      <c r="E301" s="235">
        <v>0</v>
      </c>
      <c r="F301" s="234">
        <f t="shared" si="213"/>
        <v>2</v>
      </c>
      <c r="G301" s="180" t="s">
        <v>52</v>
      </c>
      <c r="H301" s="288">
        <v>57.897703999999997</v>
      </c>
      <c r="I301" s="181">
        <f t="shared" si="214"/>
        <v>115.79540799999999</v>
      </c>
      <c r="J301" s="289">
        <v>43.589999999999996</v>
      </c>
      <c r="K301" s="231">
        <f t="shared" si="215"/>
        <v>2.4908571428571427</v>
      </c>
      <c r="L301" s="231">
        <f t="shared" si="216"/>
        <v>0.80293645331498054</v>
      </c>
      <c r="M301" s="232">
        <f t="shared" si="220"/>
        <v>35</v>
      </c>
      <c r="N301" s="233">
        <f t="shared" si="217"/>
        <v>87.179999999999993</v>
      </c>
      <c r="O301" s="284">
        <f t="shared" si="218"/>
        <v>202.97540799999999</v>
      </c>
      <c r="P301" s="182">
        <f t="shared" si="219"/>
        <v>101.48770399999999</v>
      </c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  <c r="BH301" s="30"/>
      <c r="BI301" s="30"/>
      <c r="BJ301" s="30"/>
      <c r="BK301" s="30"/>
      <c r="BL301" s="30"/>
      <c r="BM301" s="30"/>
      <c r="BN301" s="30"/>
      <c r="BO301" s="30"/>
      <c r="BP301" s="30"/>
      <c r="BQ301" s="30"/>
      <c r="BR301" s="30"/>
      <c r="BS301" s="30"/>
      <c r="BT301" s="30"/>
      <c r="BU301" s="30"/>
      <c r="BV301" s="30"/>
      <c r="BW301" s="30"/>
      <c r="BX301" s="30"/>
    </row>
    <row r="302" spans="1:76" s="31" customFormat="1" ht="16.8">
      <c r="A302" s="21" t="str">
        <f>IF(H302&lt;&gt;"",1+MAX($A$8:A301),"")</f>
        <v/>
      </c>
      <c r="B302" s="361" t="s">
        <v>294</v>
      </c>
      <c r="C302" s="179" t="s">
        <v>350</v>
      </c>
      <c r="D302" s="234"/>
      <c r="E302" s="235"/>
      <c r="F302" s="234"/>
      <c r="G302" s="180"/>
      <c r="H302" s="283"/>
      <c r="I302" s="181"/>
      <c r="J302" s="283"/>
      <c r="K302" s="181"/>
      <c r="L302" s="231"/>
      <c r="M302" s="232"/>
      <c r="N302" s="233"/>
      <c r="O302" s="284"/>
      <c r="P302" s="182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  <c r="BH302" s="30"/>
      <c r="BI302" s="30"/>
      <c r="BJ302" s="30"/>
      <c r="BK302" s="30"/>
      <c r="BL302" s="30"/>
      <c r="BM302" s="30"/>
      <c r="BN302" s="30"/>
      <c r="BO302" s="30"/>
      <c r="BP302" s="30"/>
      <c r="BQ302" s="30"/>
      <c r="BR302" s="30"/>
      <c r="BS302" s="30"/>
      <c r="BT302" s="30"/>
      <c r="BU302" s="30"/>
      <c r="BV302" s="30"/>
      <c r="BW302" s="30"/>
      <c r="BX302" s="30"/>
    </row>
    <row r="303" spans="1:76" s="30" customFormat="1" ht="33.6">
      <c r="A303" s="21">
        <f>IF(H303&lt;&gt;"",1+MAX($A$8:A302),"")</f>
        <v>190</v>
      </c>
      <c r="B303" s="363"/>
      <c r="C303" s="300" t="s">
        <v>351</v>
      </c>
      <c r="D303" s="272">
        <v>12.03</v>
      </c>
      <c r="E303" s="235">
        <v>0.05</v>
      </c>
      <c r="F303" s="234">
        <f t="shared" ref="F303" si="221">(1+E303)*D303</f>
        <v>12.631499999999999</v>
      </c>
      <c r="G303" s="180" t="s">
        <v>51</v>
      </c>
      <c r="H303" s="288">
        <v>152.82391712</v>
      </c>
      <c r="I303" s="181">
        <f>H303*F303</f>
        <v>1930.39530910128</v>
      </c>
      <c r="J303" s="289">
        <v>63.94</v>
      </c>
      <c r="K303" s="231">
        <f t="shared" ref="K303" si="222">N303/M303</f>
        <v>21.977091428571427</v>
      </c>
      <c r="L303" s="231">
        <f>D303/K303</f>
        <v>0.54738817641538939</v>
      </c>
      <c r="M303" s="232">
        <f t="shared" si="220"/>
        <v>35</v>
      </c>
      <c r="N303" s="233">
        <f>D303*J303</f>
        <v>769.19819999999993</v>
      </c>
      <c r="O303" s="284">
        <f>N303+I303</f>
        <v>2699.5935091012798</v>
      </c>
      <c r="P303" s="182">
        <f>O303/F303</f>
        <v>213.71915521523809</v>
      </c>
    </row>
    <row r="304" spans="1:76" s="31" customFormat="1" ht="15.45" customHeight="1">
      <c r="A304" s="21" t="str">
        <f>IF(H304&lt;&gt;"",1+MAX($A$8:A303),"")</f>
        <v/>
      </c>
      <c r="B304" s="267"/>
      <c r="C304" s="300"/>
      <c r="D304" s="272"/>
      <c r="E304" s="235"/>
      <c r="F304" s="234"/>
      <c r="G304" s="180"/>
      <c r="H304" s="283"/>
      <c r="I304" s="181"/>
      <c r="J304" s="283"/>
      <c r="K304" s="181"/>
      <c r="L304" s="231"/>
      <c r="M304" s="232"/>
      <c r="N304" s="233"/>
      <c r="O304" s="284"/>
      <c r="P304" s="182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  <c r="BH304" s="30"/>
      <c r="BI304" s="30"/>
      <c r="BJ304" s="30"/>
      <c r="BK304" s="30"/>
      <c r="BL304" s="30"/>
      <c r="BM304" s="30"/>
      <c r="BN304" s="30"/>
      <c r="BO304" s="30"/>
      <c r="BP304" s="30"/>
      <c r="BQ304" s="30"/>
      <c r="BR304" s="30"/>
      <c r="BS304" s="30"/>
      <c r="BT304" s="30"/>
      <c r="BU304" s="30"/>
      <c r="BV304" s="30"/>
      <c r="BW304" s="30"/>
      <c r="BX304" s="30"/>
    </row>
    <row r="305" spans="1:76" s="33" customFormat="1" ht="19.2">
      <c r="A305" s="263" t="str">
        <f>IF(H305&lt;&gt;"",1+MAX($A$8:A304),"")</f>
        <v/>
      </c>
      <c r="B305" s="359" t="s">
        <v>71</v>
      </c>
      <c r="C305" s="360"/>
      <c r="D305" s="360"/>
      <c r="E305" s="360"/>
      <c r="F305" s="360"/>
      <c r="G305" s="360"/>
      <c r="H305" s="360"/>
      <c r="I305" s="360"/>
      <c r="J305" s="360"/>
      <c r="K305" s="360"/>
      <c r="L305" s="360"/>
      <c r="M305" s="261">
        <v>30</v>
      </c>
      <c r="N305" s="262"/>
      <c r="O305" s="282">
        <f>SUM(O306:O313)</f>
        <v>3347.8971919999999</v>
      </c>
      <c r="P305" s="263"/>
      <c r="Q305" s="30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2"/>
      <c r="AP305" s="32"/>
      <c r="AQ305" s="32"/>
      <c r="AR305" s="32"/>
      <c r="AS305" s="32"/>
      <c r="AT305" s="32"/>
      <c r="AU305" s="32"/>
      <c r="AV305" s="32"/>
      <c r="AW305" s="32"/>
      <c r="AX305" s="32"/>
      <c r="AY305" s="32"/>
      <c r="AZ305" s="32"/>
      <c r="BA305" s="32"/>
      <c r="BB305" s="32"/>
      <c r="BC305" s="32"/>
      <c r="BD305" s="32"/>
      <c r="BE305" s="32"/>
      <c r="BF305" s="32"/>
      <c r="BG305" s="32"/>
      <c r="BH305" s="32"/>
      <c r="BI305" s="32"/>
      <c r="BJ305" s="32"/>
      <c r="BK305" s="32"/>
      <c r="BL305" s="32"/>
      <c r="BM305" s="32"/>
      <c r="BN305" s="32"/>
      <c r="BO305" s="32"/>
      <c r="BP305" s="32"/>
      <c r="BQ305" s="32"/>
    </row>
    <row r="306" spans="1:76" s="31" customFormat="1" ht="16.8">
      <c r="A306" s="21" t="str">
        <f>IF(H306&lt;&gt;"",1+MAX($A$8:A305),"")</f>
        <v/>
      </c>
      <c r="B306" s="267"/>
      <c r="C306" s="236"/>
      <c r="D306" s="234"/>
      <c r="E306" s="235"/>
      <c r="F306" s="234"/>
      <c r="G306" s="180"/>
      <c r="H306" s="283"/>
      <c r="I306" s="181"/>
      <c r="J306" s="283"/>
      <c r="K306" s="181"/>
      <c r="L306" s="231"/>
      <c r="M306" s="232"/>
      <c r="N306" s="233"/>
      <c r="O306" s="284"/>
      <c r="P306" s="182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  <c r="BH306" s="30"/>
      <c r="BI306" s="30"/>
      <c r="BJ306" s="30"/>
      <c r="BK306" s="30"/>
      <c r="BL306" s="30"/>
      <c r="BM306" s="30"/>
      <c r="BN306" s="30"/>
      <c r="BO306" s="30"/>
      <c r="BP306" s="30"/>
      <c r="BQ306" s="30"/>
      <c r="BR306" s="30"/>
      <c r="BS306" s="30"/>
      <c r="BT306" s="30"/>
      <c r="BU306" s="30"/>
      <c r="BV306" s="30"/>
      <c r="BW306" s="30"/>
      <c r="BX306" s="30"/>
    </row>
    <row r="307" spans="1:76" s="31" customFormat="1" ht="16.8">
      <c r="A307" s="21" t="str">
        <f>IF(H307&lt;&gt;"",1+MAX($A$8:A306),"")</f>
        <v/>
      </c>
      <c r="B307" s="361" t="s">
        <v>294</v>
      </c>
      <c r="C307" s="179" t="s">
        <v>140</v>
      </c>
      <c r="D307" s="272"/>
      <c r="E307" s="230"/>
      <c r="F307" s="230"/>
      <c r="G307" s="180"/>
      <c r="H307" s="283"/>
      <c r="I307" s="181"/>
      <c r="J307" s="283"/>
      <c r="K307" s="181"/>
      <c r="L307" s="231"/>
      <c r="M307" s="232"/>
      <c r="N307" s="233"/>
      <c r="O307" s="284"/>
      <c r="P307" s="182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  <c r="BH307" s="30"/>
      <c r="BI307" s="30"/>
      <c r="BJ307" s="30"/>
      <c r="BK307" s="30"/>
      <c r="BL307" s="30"/>
      <c r="BM307" s="30"/>
      <c r="BN307" s="30"/>
      <c r="BO307" s="30"/>
      <c r="BP307" s="30"/>
      <c r="BQ307" s="30"/>
      <c r="BR307" s="30"/>
      <c r="BS307" s="30"/>
      <c r="BT307" s="30"/>
      <c r="BU307" s="30"/>
      <c r="BV307" s="30"/>
      <c r="BW307" s="30"/>
      <c r="BX307" s="30"/>
    </row>
    <row r="308" spans="1:76" s="31" customFormat="1" ht="16.8">
      <c r="A308" s="307">
        <f>IF(H308&lt;&gt;"",1+MAX($A$8:A307),"")</f>
        <v>191</v>
      </c>
      <c r="B308" s="362"/>
      <c r="C308" s="300" t="s">
        <v>396</v>
      </c>
      <c r="D308" s="272">
        <v>1</v>
      </c>
      <c r="E308" s="235">
        <v>0</v>
      </c>
      <c r="F308" s="234">
        <f t="shared" ref="F308:F312" si="223">(1+E308)*D308</f>
        <v>1</v>
      </c>
      <c r="G308" s="180" t="s">
        <v>52</v>
      </c>
      <c r="H308" s="288">
        <v>926.36326399999996</v>
      </c>
      <c r="I308" s="181">
        <f t="shared" ref="I308:I312" si="224">H308*F308</f>
        <v>926.36326399999996</v>
      </c>
      <c r="J308" s="289">
        <v>395.21</v>
      </c>
      <c r="K308" s="231">
        <f t="shared" ref="K308:K312" si="225">N308/M308</f>
        <v>13.173666666666666</v>
      </c>
      <c r="L308" s="231">
        <f>D308/K308</f>
        <v>7.5909010399534432E-2</v>
      </c>
      <c r="M308" s="232">
        <f>$M$305</f>
        <v>30</v>
      </c>
      <c r="N308" s="233">
        <f>D308*J308</f>
        <v>395.21</v>
      </c>
      <c r="O308" s="284">
        <f>N308+I308</f>
        <v>1321.5732639999999</v>
      </c>
      <c r="P308" s="182">
        <f>O308/F308</f>
        <v>1321.5732639999999</v>
      </c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  <c r="BH308" s="30"/>
      <c r="BI308" s="30"/>
      <c r="BJ308" s="30"/>
      <c r="BK308" s="30"/>
      <c r="BL308" s="30"/>
      <c r="BM308" s="30"/>
      <c r="BN308" s="30"/>
      <c r="BO308" s="30"/>
      <c r="BP308" s="30"/>
      <c r="BQ308" s="30"/>
      <c r="BR308" s="30"/>
      <c r="BS308" s="30"/>
      <c r="BT308" s="30"/>
      <c r="BU308" s="30"/>
      <c r="BV308" s="30"/>
      <c r="BW308" s="30"/>
      <c r="BX308" s="30"/>
    </row>
    <row r="309" spans="1:76" s="31" customFormat="1" ht="16.8">
      <c r="A309" s="307">
        <f>IF(H309&lt;&gt;"",1+MAX($A$8:A308),"")</f>
        <v>192</v>
      </c>
      <c r="B309" s="362"/>
      <c r="C309" s="300" t="s">
        <v>354</v>
      </c>
      <c r="D309" s="272">
        <v>1</v>
      </c>
      <c r="E309" s="235">
        <v>0</v>
      </c>
      <c r="F309" s="234">
        <f t="shared" si="223"/>
        <v>1</v>
      </c>
      <c r="G309" s="180" t="s">
        <v>52</v>
      </c>
      <c r="H309" s="288">
        <v>505.46647200000001</v>
      </c>
      <c r="I309" s="181">
        <f t="shared" si="224"/>
        <v>505.46647200000001</v>
      </c>
      <c r="J309" s="289">
        <v>244.1</v>
      </c>
      <c r="K309" s="231">
        <f t="shared" si="225"/>
        <v>8.1366666666666667</v>
      </c>
      <c r="L309" s="231">
        <f>D309/K309</f>
        <v>0.12290045063498566</v>
      </c>
      <c r="M309" s="232">
        <f t="shared" ref="M309:M312" si="226">$M$305</f>
        <v>30</v>
      </c>
      <c r="N309" s="233">
        <f>D309*J309</f>
        <v>244.1</v>
      </c>
      <c r="O309" s="284">
        <f>N309+I309</f>
        <v>749.56647199999998</v>
      </c>
      <c r="P309" s="182">
        <f>O309/F309</f>
        <v>749.56647199999998</v>
      </c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  <c r="BH309" s="30"/>
      <c r="BI309" s="30"/>
      <c r="BJ309" s="30"/>
      <c r="BK309" s="30"/>
      <c r="BL309" s="30"/>
      <c r="BM309" s="30"/>
      <c r="BN309" s="30"/>
      <c r="BO309" s="30"/>
      <c r="BP309" s="30"/>
      <c r="BQ309" s="30"/>
      <c r="BR309" s="30"/>
      <c r="BS309" s="30"/>
      <c r="BT309" s="30"/>
      <c r="BU309" s="30"/>
      <c r="BV309" s="30"/>
      <c r="BW309" s="30"/>
      <c r="BX309" s="30"/>
    </row>
    <row r="310" spans="1:76" s="31" customFormat="1" ht="16.8">
      <c r="A310" s="307">
        <f>IF(H310&lt;&gt;"",1+MAX($A$8:A309),"")</f>
        <v>193</v>
      </c>
      <c r="B310" s="362"/>
      <c r="C310" s="300" t="s">
        <v>355</v>
      </c>
      <c r="D310" s="272">
        <v>1</v>
      </c>
      <c r="E310" s="235">
        <v>0</v>
      </c>
      <c r="F310" s="234">
        <f t="shared" si="223"/>
        <v>1</v>
      </c>
      <c r="G310" s="180" t="s">
        <v>52</v>
      </c>
      <c r="H310" s="288">
        <v>268.02083199999998</v>
      </c>
      <c r="I310" s="181">
        <f t="shared" si="224"/>
        <v>268.02083199999998</v>
      </c>
      <c r="J310" s="289">
        <v>197.60999999999999</v>
      </c>
      <c r="K310" s="231">
        <f t="shared" si="225"/>
        <v>6.5869999999999997</v>
      </c>
      <c r="L310" s="231">
        <f>D310/K310</f>
        <v>0.1518141794443601</v>
      </c>
      <c r="M310" s="232">
        <f t="shared" si="226"/>
        <v>30</v>
      </c>
      <c r="N310" s="233">
        <f>D310*J310</f>
        <v>197.60999999999999</v>
      </c>
      <c r="O310" s="284">
        <f>N310+I310</f>
        <v>465.63083199999994</v>
      </c>
      <c r="P310" s="182">
        <f>O310/F310</f>
        <v>465.63083199999994</v>
      </c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  <c r="BH310" s="30"/>
      <c r="BI310" s="30"/>
      <c r="BJ310" s="30"/>
      <c r="BK310" s="30"/>
      <c r="BL310" s="30"/>
      <c r="BM310" s="30"/>
      <c r="BN310" s="30"/>
      <c r="BO310" s="30"/>
      <c r="BP310" s="30"/>
      <c r="BQ310" s="30"/>
      <c r="BR310" s="30"/>
      <c r="BS310" s="30"/>
      <c r="BT310" s="30"/>
      <c r="BU310" s="30"/>
      <c r="BV310" s="30"/>
      <c r="BW310" s="30"/>
      <c r="BX310" s="30"/>
    </row>
    <row r="311" spans="1:76" s="31" customFormat="1" ht="16.8">
      <c r="A311" s="307">
        <f>IF(H311&lt;&gt;"",1+MAX($A$8:A310),"")</f>
        <v>194</v>
      </c>
      <c r="B311" s="362"/>
      <c r="C311" s="300" t="s">
        <v>356</v>
      </c>
      <c r="D311" s="272">
        <v>1</v>
      </c>
      <c r="E311" s="235">
        <v>0</v>
      </c>
      <c r="F311" s="234">
        <f t="shared" si="223"/>
        <v>1</v>
      </c>
      <c r="G311" s="180" t="s">
        <v>52</v>
      </c>
      <c r="H311" s="288">
        <v>223.78438399999999</v>
      </c>
      <c r="I311" s="181">
        <f t="shared" si="224"/>
        <v>223.78438399999999</v>
      </c>
      <c r="J311" s="289">
        <v>185.98999999999998</v>
      </c>
      <c r="K311" s="231">
        <f t="shared" si="225"/>
        <v>6.1996666666666664</v>
      </c>
      <c r="L311" s="231">
        <f>D311/K311</f>
        <v>0.16129899456960053</v>
      </c>
      <c r="M311" s="232">
        <f t="shared" si="226"/>
        <v>30</v>
      </c>
      <c r="N311" s="233">
        <f>D311*J311</f>
        <v>185.98999999999998</v>
      </c>
      <c r="O311" s="284">
        <f>N311+I311</f>
        <v>409.77438399999994</v>
      </c>
      <c r="P311" s="182">
        <f>O311/F311</f>
        <v>409.77438399999994</v>
      </c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  <c r="BH311" s="30"/>
      <c r="BI311" s="30"/>
      <c r="BJ311" s="30"/>
      <c r="BK311" s="30"/>
      <c r="BL311" s="30"/>
      <c r="BM311" s="30"/>
      <c r="BN311" s="30"/>
      <c r="BO311" s="30"/>
      <c r="BP311" s="30"/>
      <c r="BQ311" s="30"/>
      <c r="BR311" s="30"/>
      <c r="BS311" s="30"/>
      <c r="BT311" s="30"/>
      <c r="BU311" s="30"/>
      <c r="BV311" s="30"/>
      <c r="BW311" s="30"/>
      <c r="BX311" s="30"/>
    </row>
    <row r="312" spans="1:76" s="31" customFormat="1" ht="16.8">
      <c r="A312" s="307">
        <f>IF(H312&lt;&gt;"",1+MAX($A$8:A311),"")</f>
        <v>195</v>
      </c>
      <c r="B312" s="363"/>
      <c r="C312" s="300" t="s">
        <v>357</v>
      </c>
      <c r="D312" s="272">
        <v>1</v>
      </c>
      <c r="E312" s="235">
        <v>0</v>
      </c>
      <c r="F312" s="234">
        <f t="shared" si="223"/>
        <v>1</v>
      </c>
      <c r="G312" s="180" t="s">
        <v>52</v>
      </c>
      <c r="H312" s="288">
        <v>221.18224000000001</v>
      </c>
      <c r="I312" s="181">
        <f t="shared" si="224"/>
        <v>221.18224000000001</v>
      </c>
      <c r="J312" s="289">
        <v>180.17</v>
      </c>
      <c r="K312" s="231">
        <f t="shared" si="225"/>
        <v>6.0056666666666665</v>
      </c>
      <c r="L312" s="231">
        <f>D312/K312</f>
        <v>0.16650940778153966</v>
      </c>
      <c r="M312" s="232">
        <f t="shared" si="226"/>
        <v>30</v>
      </c>
      <c r="N312" s="233">
        <f>D312*J312</f>
        <v>180.17</v>
      </c>
      <c r="O312" s="284">
        <f>N312+I312</f>
        <v>401.35223999999999</v>
      </c>
      <c r="P312" s="182">
        <f>O312/F312</f>
        <v>401.35223999999999</v>
      </c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  <c r="BH312" s="30"/>
      <c r="BI312" s="30"/>
      <c r="BJ312" s="30"/>
      <c r="BK312" s="30"/>
      <c r="BL312" s="30"/>
      <c r="BM312" s="30"/>
      <c r="BN312" s="30"/>
      <c r="BO312" s="30"/>
      <c r="BP312" s="30"/>
      <c r="BQ312" s="30"/>
      <c r="BR312" s="30"/>
      <c r="BS312" s="30"/>
      <c r="BT312" s="30"/>
      <c r="BU312" s="30"/>
      <c r="BV312" s="30"/>
      <c r="BW312" s="30"/>
      <c r="BX312" s="30"/>
    </row>
    <row r="313" spans="1:76" s="31" customFormat="1" ht="16.8">
      <c r="A313" s="21" t="str">
        <f>IF(H313&lt;&gt;"",1+MAX($A$8:A312),"")</f>
        <v/>
      </c>
      <c r="B313" s="267"/>
      <c r="C313" s="236"/>
      <c r="D313" s="234"/>
      <c r="E313" s="235"/>
      <c r="F313" s="234"/>
      <c r="G313" s="180"/>
      <c r="H313" s="283"/>
      <c r="I313" s="181"/>
      <c r="J313" s="283"/>
      <c r="K313" s="181"/>
      <c r="L313" s="231"/>
      <c r="M313" s="232"/>
      <c r="N313" s="233"/>
      <c r="O313" s="284"/>
      <c r="P313" s="182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  <c r="BH313" s="30"/>
      <c r="BI313" s="30"/>
      <c r="BJ313" s="30"/>
      <c r="BK313" s="30"/>
      <c r="BL313" s="30"/>
      <c r="BM313" s="30"/>
      <c r="BN313" s="30"/>
      <c r="BO313" s="30"/>
      <c r="BP313" s="30"/>
      <c r="BQ313" s="30"/>
      <c r="BR313" s="30"/>
      <c r="BS313" s="30"/>
      <c r="BT313" s="30"/>
      <c r="BU313" s="30"/>
      <c r="BV313" s="30"/>
      <c r="BW313" s="30"/>
      <c r="BX313" s="30"/>
    </row>
    <row r="314" spans="1:76" s="33" customFormat="1" ht="19.2">
      <c r="A314" s="263" t="str">
        <f>IF(H314&lt;&gt;"",1+MAX($A$8:A313),"")</f>
        <v/>
      </c>
      <c r="B314" s="359" t="s">
        <v>72</v>
      </c>
      <c r="C314" s="360"/>
      <c r="D314" s="360"/>
      <c r="E314" s="360"/>
      <c r="F314" s="360"/>
      <c r="G314" s="360"/>
      <c r="H314" s="360"/>
      <c r="I314" s="360"/>
      <c r="J314" s="360"/>
      <c r="K314" s="360"/>
      <c r="L314" s="360"/>
      <c r="M314" s="261">
        <v>35</v>
      </c>
      <c r="N314" s="262"/>
      <c r="O314" s="282">
        <f>SUM(O315:O319)</f>
        <v>1941.7393558205999</v>
      </c>
      <c r="P314" s="263"/>
      <c r="Q314" s="30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2"/>
      <c r="AP314" s="32"/>
      <c r="AQ314" s="32"/>
      <c r="AR314" s="32"/>
      <c r="AS314" s="32"/>
      <c r="AT314" s="32"/>
      <c r="AU314" s="32"/>
      <c r="AV314" s="32"/>
      <c r="AW314" s="32"/>
      <c r="AX314" s="32"/>
      <c r="AY314" s="32"/>
      <c r="AZ314" s="32"/>
      <c r="BA314" s="32"/>
      <c r="BB314" s="32"/>
      <c r="BC314" s="32"/>
      <c r="BD314" s="32"/>
      <c r="BE314" s="32"/>
      <c r="BF314" s="32"/>
      <c r="BG314" s="32"/>
      <c r="BH314" s="32"/>
      <c r="BI314" s="32"/>
      <c r="BJ314" s="32"/>
      <c r="BK314" s="32"/>
      <c r="BL314" s="32"/>
      <c r="BM314" s="32"/>
      <c r="BN314" s="32"/>
      <c r="BO314" s="32"/>
      <c r="BP314" s="32"/>
      <c r="BQ314" s="32"/>
    </row>
    <row r="315" spans="1:76" s="31" customFormat="1" ht="16.8">
      <c r="A315" s="21" t="str">
        <f>IF(H315&lt;&gt;"",1+MAX($A$8:A314),"")</f>
        <v/>
      </c>
      <c r="B315" s="267"/>
      <c r="C315" s="236"/>
      <c r="D315" s="234"/>
      <c r="E315" s="235"/>
      <c r="F315" s="234"/>
      <c r="G315" s="180"/>
      <c r="H315" s="283"/>
      <c r="I315" s="181"/>
      <c r="J315" s="283"/>
      <c r="K315" s="181"/>
      <c r="L315" s="231"/>
      <c r="M315" s="232"/>
      <c r="N315" s="233"/>
      <c r="O315" s="284"/>
      <c r="P315" s="182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  <c r="BH315" s="30"/>
      <c r="BI315" s="30"/>
      <c r="BJ315" s="30"/>
      <c r="BK315" s="30"/>
      <c r="BL315" s="30"/>
      <c r="BM315" s="30"/>
      <c r="BN315" s="30"/>
      <c r="BO315" s="30"/>
      <c r="BP315" s="30"/>
      <c r="BQ315" s="30"/>
      <c r="BR315" s="30"/>
      <c r="BS315" s="30"/>
      <c r="BT315" s="30"/>
      <c r="BU315" s="30"/>
      <c r="BV315" s="30"/>
      <c r="BW315" s="30"/>
      <c r="BX315" s="30"/>
    </row>
    <row r="316" spans="1:76" s="31" customFormat="1" ht="16.8">
      <c r="A316" s="21" t="str">
        <f>IF(H316&lt;&gt;"",1+MAX($A$8:A315),"")</f>
        <v/>
      </c>
      <c r="B316" s="361" t="s">
        <v>294</v>
      </c>
      <c r="C316" s="179" t="s">
        <v>73</v>
      </c>
      <c r="D316" s="234"/>
      <c r="E316" s="235"/>
      <c r="F316" s="234"/>
      <c r="G316" s="180"/>
      <c r="H316" s="283"/>
      <c r="I316" s="181"/>
      <c r="J316" s="283"/>
      <c r="K316" s="181"/>
      <c r="L316" s="231"/>
      <c r="M316" s="232"/>
      <c r="N316" s="233"/>
      <c r="O316" s="284"/>
      <c r="P316" s="182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  <c r="BH316" s="30"/>
      <c r="BI316" s="30"/>
      <c r="BJ316" s="30"/>
      <c r="BK316" s="30"/>
      <c r="BL316" s="30"/>
      <c r="BM316" s="30"/>
      <c r="BN316" s="30"/>
      <c r="BO316" s="30"/>
      <c r="BP316" s="30"/>
      <c r="BQ316" s="30"/>
      <c r="BR316" s="30"/>
      <c r="BS316" s="30"/>
      <c r="BT316" s="30"/>
      <c r="BU316" s="30"/>
      <c r="BV316" s="30"/>
      <c r="BW316" s="30"/>
      <c r="BX316" s="30"/>
    </row>
    <row r="317" spans="1:76" s="30" customFormat="1" ht="16.8">
      <c r="A317" s="21">
        <f>IF(H317&lt;&gt;"",1+MAX($A$8:A316),"")</f>
        <v>196</v>
      </c>
      <c r="B317" s="362"/>
      <c r="C317" s="300" t="s">
        <v>358</v>
      </c>
      <c r="D317" s="272">
        <v>28.53</v>
      </c>
      <c r="E317" s="235">
        <v>0.05</v>
      </c>
      <c r="F317" s="234">
        <f t="shared" ref="F317:F319" si="227">(1+E317)*D317</f>
        <v>29.956500000000002</v>
      </c>
      <c r="G317" s="180" t="s">
        <v>50</v>
      </c>
      <c r="H317" s="288">
        <v>33.951473839999998</v>
      </c>
      <c r="I317" s="181">
        <f t="shared" ref="I317:I319" si="228">H317*F317</f>
        <v>1017.0673260879601</v>
      </c>
      <c r="J317" s="289">
        <v>20.350000000000001</v>
      </c>
      <c r="K317" s="231">
        <f t="shared" ref="K317:K319" si="229">N317/M317</f>
        <v>16.588157142857142</v>
      </c>
      <c r="L317" s="231">
        <f>D317/K317</f>
        <v>1.7199017199017201</v>
      </c>
      <c r="M317" s="232">
        <f>$M$314</f>
        <v>35</v>
      </c>
      <c r="N317" s="233">
        <f>D317*J317</f>
        <v>580.58550000000002</v>
      </c>
      <c r="O317" s="284">
        <f>N317+I317</f>
        <v>1597.65282608796</v>
      </c>
      <c r="P317" s="182">
        <f>O317/F317</f>
        <v>53.332426220952378</v>
      </c>
    </row>
    <row r="318" spans="1:76" s="30" customFormat="1" ht="16.8">
      <c r="A318" s="21">
        <f>IF(H318&lt;&gt;"",1+MAX($A$8:A317),"")</f>
        <v>197</v>
      </c>
      <c r="B318" s="362"/>
      <c r="C318" s="300" t="s">
        <v>359</v>
      </c>
      <c r="D318" s="272">
        <v>11.88</v>
      </c>
      <c r="E318" s="235">
        <v>0.05</v>
      </c>
      <c r="F318" s="234">
        <f t="shared" si="227"/>
        <v>12.474000000000002</v>
      </c>
      <c r="G318" s="180" t="s">
        <v>51</v>
      </c>
      <c r="H318" s="288">
        <v>12.132496399999999</v>
      </c>
      <c r="I318" s="181">
        <f t="shared" si="228"/>
        <v>151.34076009360001</v>
      </c>
      <c r="J318" s="289">
        <v>10.18</v>
      </c>
      <c r="K318" s="231">
        <f t="shared" si="229"/>
        <v>3.4553828571428573</v>
      </c>
      <c r="L318" s="231">
        <f>D318/K318</f>
        <v>3.4381139489194501</v>
      </c>
      <c r="M318" s="232">
        <f t="shared" ref="M318:M319" si="230">$M$314</f>
        <v>35</v>
      </c>
      <c r="N318" s="233">
        <f>D318*J318</f>
        <v>120.9384</v>
      </c>
      <c r="O318" s="284">
        <f>N318+I318</f>
        <v>272.27916009360001</v>
      </c>
      <c r="P318" s="182">
        <f>O318/F318</f>
        <v>21.827734495238094</v>
      </c>
    </row>
    <row r="319" spans="1:76" s="30" customFormat="1" ht="16.8">
      <c r="A319" s="21">
        <f>IF(H319&lt;&gt;"",1+MAX($A$8:A318),"")</f>
        <v>198</v>
      </c>
      <c r="B319" s="363"/>
      <c r="C319" s="300" t="s">
        <v>360</v>
      </c>
      <c r="D319" s="272">
        <v>5.32</v>
      </c>
      <c r="E319" s="235">
        <v>0.05</v>
      </c>
      <c r="F319" s="234">
        <f t="shared" si="227"/>
        <v>5.5860000000000003</v>
      </c>
      <c r="G319" s="180" t="s">
        <v>51</v>
      </c>
      <c r="H319" s="288">
        <v>7.3120246399999997</v>
      </c>
      <c r="I319" s="181">
        <f t="shared" si="228"/>
        <v>40.844969639040002</v>
      </c>
      <c r="J319" s="289">
        <v>5.8199999999999994</v>
      </c>
      <c r="K319" s="231">
        <f t="shared" si="229"/>
        <v>0.88463999999999998</v>
      </c>
      <c r="L319" s="231">
        <f>D319/K319</f>
        <v>6.0137457044673548</v>
      </c>
      <c r="M319" s="232">
        <f t="shared" si="230"/>
        <v>35</v>
      </c>
      <c r="N319" s="233">
        <f>D319*J319</f>
        <v>30.962399999999999</v>
      </c>
      <c r="O319" s="284">
        <f>N319+I319</f>
        <v>71.807369639040004</v>
      </c>
      <c r="P319" s="182">
        <f>O319/F319</f>
        <v>12.854881782857143</v>
      </c>
    </row>
    <row r="320" spans="1:76" s="31" customFormat="1" ht="17.399999999999999" thickBot="1">
      <c r="A320" s="21" t="str">
        <f>IF(H320&lt;&gt;"",1+MAX($A$8:A319),"")</f>
        <v/>
      </c>
      <c r="B320" s="214"/>
      <c r="C320" s="245"/>
      <c r="D320" s="183"/>
      <c r="E320" s="184"/>
      <c r="F320" s="183"/>
      <c r="G320" s="185"/>
      <c r="H320" s="323"/>
      <c r="I320" s="186"/>
      <c r="J320" s="323"/>
      <c r="K320" s="187"/>
      <c r="L320" s="187"/>
      <c r="M320" s="188"/>
      <c r="N320" s="189"/>
      <c r="O320" s="335"/>
      <c r="P320" s="191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  <c r="BH320" s="30"/>
      <c r="BI320" s="30"/>
      <c r="BJ320" s="30"/>
      <c r="BK320" s="30"/>
      <c r="BL320" s="30"/>
      <c r="BM320" s="30"/>
      <c r="BN320" s="30"/>
      <c r="BO320" s="30"/>
      <c r="BP320" s="30"/>
      <c r="BQ320" s="30"/>
      <c r="BR320" s="30"/>
      <c r="BS320" s="30"/>
      <c r="BT320" s="30"/>
      <c r="BU320" s="30"/>
      <c r="BV320" s="30"/>
      <c r="BW320" s="30"/>
      <c r="BX320" s="30"/>
    </row>
    <row r="321" spans="1:76" s="33" customFormat="1" ht="19.2">
      <c r="A321" s="263" t="str">
        <f>IF(H321&lt;&gt;"",1+MAX($A$8:A320),"")</f>
        <v/>
      </c>
      <c r="B321" s="399" t="s">
        <v>87</v>
      </c>
      <c r="C321" s="400"/>
      <c r="D321" s="400"/>
      <c r="E321" s="400"/>
      <c r="F321" s="400"/>
      <c r="G321" s="400"/>
      <c r="H321" s="400"/>
      <c r="I321" s="400"/>
      <c r="J321" s="400"/>
      <c r="K321" s="400"/>
      <c r="L321" s="400"/>
      <c r="M321" s="261">
        <v>75</v>
      </c>
      <c r="N321" s="262"/>
      <c r="O321" s="282">
        <f>SUM(O322:O349)</f>
        <v>26924.734311173423</v>
      </c>
      <c r="P321" s="263"/>
      <c r="Q321" s="30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2"/>
      <c r="AP321" s="32"/>
      <c r="AQ321" s="32"/>
      <c r="AR321" s="32"/>
      <c r="AS321" s="32"/>
      <c r="AT321" s="32"/>
      <c r="AU321" s="32"/>
      <c r="AV321" s="32"/>
      <c r="AW321" s="32"/>
      <c r="AX321" s="32"/>
      <c r="AY321" s="32"/>
      <c r="AZ321" s="32"/>
      <c r="BA321" s="32"/>
      <c r="BB321" s="32"/>
      <c r="BC321" s="32"/>
      <c r="BD321" s="32"/>
      <c r="BE321" s="32"/>
      <c r="BF321" s="32"/>
      <c r="BG321" s="32"/>
      <c r="BH321" s="32"/>
      <c r="BI321" s="32"/>
      <c r="BJ321" s="32"/>
      <c r="BK321" s="32"/>
      <c r="BL321" s="32"/>
      <c r="BM321" s="32"/>
      <c r="BN321" s="32"/>
      <c r="BO321" s="32"/>
      <c r="BP321" s="32"/>
      <c r="BQ321" s="32"/>
    </row>
    <row r="322" spans="1:76" s="31" customFormat="1" ht="16.8">
      <c r="A322" s="21" t="str">
        <f>IF(H322&lt;&gt;"",1+MAX($A$8:A321),"")</f>
        <v/>
      </c>
      <c r="B322" s="267"/>
      <c r="C322" s="236"/>
      <c r="D322" s="234"/>
      <c r="E322" s="235"/>
      <c r="F322" s="234"/>
      <c r="G322" s="180"/>
      <c r="H322" s="283"/>
      <c r="I322" s="181"/>
      <c r="J322" s="283"/>
      <c r="K322" s="181"/>
      <c r="L322" s="231"/>
      <c r="M322" s="232"/>
      <c r="N322" s="233"/>
      <c r="O322" s="284"/>
      <c r="P322" s="182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  <c r="BH322" s="30"/>
      <c r="BI322" s="30"/>
      <c r="BJ322" s="30"/>
      <c r="BK322" s="30"/>
      <c r="BL322" s="30"/>
      <c r="BM322" s="30"/>
      <c r="BN322" s="30"/>
      <c r="BO322" s="30"/>
      <c r="BP322" s="30"/>
      <c r="BQ322" s="30"/>
      <c r="BR322" s="30"/>
      <c r="BS322" s="30"/>
      <c r="BT322" s="30"/>
      <c r="BU322" s="30"/>
      <c r="BV322" s="30"/>
      <c r="BW322" s="30"/>
      <c r="BX322" s="30"/>
    </row>
    <row r="323" spans="1:76" s="31" customFormat="1" ht="16.8">
      <c r="A323" s="21" t="str">
        <f>IF(H323&lt;&gt;"",1+MAX($A$8:A322),"")</f>
        <v/>
      </c>
      <c r="B323" s="361" t="s">
        <v>200</v>
      </c>
      <c r="C323" s="179" t="s">
        <v>86</v>
      </c>
      <c r="D323" s="234"/>
      <c r="E323" s="235"/>
      <c r="F323" s="234"/>
      <c r="G323" s="180"/>
      <c r="H323" s="283"/>
      <c r="I323" s="181"/>
      <c r="J323" s="283"/>
      <c r="K323" s="181"/>
      <c r="L323" s="231"/>
      <c r="M323" s="232"/>
      <c r="N323" s="233"/>
      <c r="O323" s="284"/>
      <c r="P323" s="182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  <c r="BH323" s="30"/>
      <c r="BI323" s="30"/>
      <c r="BJ323" s="30"/>
      <c r="BK323" s="30"/>
      <c r="BL323" s="30"/>
      <c r="BM323" s="30"/>
      <c r="BN323" s="30"/>
      <c r="BO323" s="30"/>
      <c r="BP323" s="30"/>
      <c r="BQ323" s="30"/>
      <c r="BR323" s="30"/>
      <c r="BS323" s="30"/>
      <c r="BT323" s="30"/>
      <c r="BU323" s="30"/>
      <c r="BV323" s="30"/>
      <c r="BW323" s="30"/>
      <c r="BX323" s="30"/>
    </row>
    <row r="324" spans="1:76" s="31" customFormat="1" ht="16.8">
      <c r="A324" s="21" t="str">
        <f>IF(H324&lt;&gt;"",1+MAX($A$8:A323),"")</f>
        <v/>
      </c>
      <c r="B324" s="362"/>
      <c r="C324" s="285" t="s">
        <v>201</v>
      </c>
      <c r="D324" s="286"/>
      <c r="E324" s="287"/>
      <c r="F324" s="286"/>
      <c r="G324" s="275"/>
      <c r="H324" s="288"/>
      <c r="I324" s="181"/>
      <c r="J324" s="289"/>
      <c r="K324" s="231"/>
      <c r="L324" s="231"/>
      <c r="M324" s="232"/>
      <c r="N324" s="233"/>
      <c r="O324" s="284"/>
      <c r="P324" s="182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  <c r="BH324" s="30"/>
      <c r="BI324" s="30"/>
      <c r="BJ324" s="30"/>
      <c r="BK324" s="30"/>
      <c r="BL324" s="30"/>
      <c r="BM324" s="30"/>
      <c r="BN324" s="30"/>
      <c r="BO324" s="30"/>
      <c r="BP324" s="30"/>
      <c r="BQ324" s="30"/>
      <c r="BR324" s="30"/>
      <c r="BS324" s="30"/>
      <c r="BT324" s="30"/>
      <c r="BU324" s="30"/>
      <c r="BV324" s="30"/>
      <c r="BW324" s="30"/>
      <c r="BX324" s="30"/>
    </row>
    <row r="325" spans="1:76" s="31" customFormat="1" ht="16.8">
      <c r="A325" s="21">
        <f>IF(H325&lt;&gt;"",1+MAX($A$8:A324),"")</f>
        <v>199</v>
      </c>
      <c r="B325" s="362"/>
      <c r="C325" s="290" t="s">
        <v>202</v>
      </c>
      <c r="D325" s="286">
        <v>9.16</v>
      </c>
      <c r="E325" s="287">
        <v>0.05</v>
      </c>
      <c r="F325" s="286">
        <f t="shared" ref="F325:F329" si="231">(1+E325)*D325</f>
        <v>9.6180000000000003</v>
      </c>
      <c r="G325" s="275" t="s">
        <v>51</v>
      </c>
      <c r="H325" s="288">
        <v>4.7684288800000001</v>
      </c>
      <c r="I325" s="181">
        <f t="shared" ref="I325:I329" si="232">H325*F325</f>
        <v>45.862748967840005</v>
      </c>
      <c r="J325" s="289">
        <v>10.39</v>
      </c>
      <c r="K325" s="231">
        <f t="shared" ref="K325:K335" si="233">N325/M325</f>
        <v>1.2689653333333335</v>
      </c>
      <c r="L325" s="231">
        <f>D325/K325</f>
        <v>7.2184793070259854</v>
      </c>
      <c r="M325" s="232">
        <f>$M$321</f>
        <v>75</v>
      </c>
      <c r="N325" s="233">
        <f>D325*J325</f>
        <v>95.17240000000001</v>
      </c>
      <c r="O325" s="284">
        <f>N325+I325</f>
        <v>141.03514896784003</v>
      </c>
      <c r="P325" s="182">
        <f>O325/F325</f>
        <v>14.663666975238097</v>
      </c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  <c r="BH325" s="30"/>
      <c r="BI325" s="30"/>
      <c r="BJ325" s="30"/>
      <c r="BK325" s="30"/>
      <c r="BL325" s="30"/>
      <c r="BM325" s="30"/>
      <c r="BN325" s="30"/>
      <c r="BO325" s="30"/>
      <c r="BP325" s="30"/>
      <c r="BQ325" s="30"/>
      <c r="BR325" s="30"/>
      <c r="BS325" s="30"/>
      <c r="BT325" s="30"/>
      <c r="BU325" s="30"/>
      <c r="BV325" s="30"/>
      <c r="BW325" s="30"/>
      <c r="BX325" s="30"/>
    </row>
    <row r="326" spans="1:76" s="31" customFormat="1" ht="16.8">
      <c r="A326" s="21">
        <f>IF(H326&lt;&gt;"",1+MAX($A$8:A325),"")</f>
        <v>200</v>
      </c>
      <c r="B326" s="362"/>
      <c r="C326" s="290" t="s">
        <v>203</v>
      </c>
      <c r="D326" s="286">
        <v>66.069999999999993</v>
      </c>
      <c r="E326" s="287">
        <v>0.05</v>
      </c>
      <c r="F326" s="286">
        <f t="shared" si="231"/>
        <v>69.373499999999993</v>
      </c>
      <c r="G326" s="275" t="s">
        <v>51</v>
      </c>
      <c r="H326" s="288">
        <v>2.2508545600000001</v>
      </c>
      <c r="I326" s="181">
        <f t="shared" si="232"/>
        <v>156.14965881815999</v>
      </c>
      <c r="J326" s="289">
        <v>8.7099999999999991</v>
      </c>
      <c r="K326" s="231">
        <f t="shared" si="233"/>
        <v>7.6729293333333315</v>
      </c>
      <c r="L326" s="231">
        <f>D326/K326</f>
        <v>8.6107921928817461</v>
      </c>
      <c r="M326" s="232">
        <f t="shared" ref="M326:M348" si="234">$M$321</f>
        <v>75</v>
      </c>
      <c r="N326" s="233">
        <f>D326*J326</f>
        <v>575.46969999999988</v>
      </c>
      <c r="O326" s="284">
        <f>N326+I326</f>
        <v>731.61935881815987</v>
      </c>
      <c r="P326" s="182">
        <f>O326/F326</f>
        <v>10.546092655238095</v>
      </c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  <c r="BH326" s="30"/>
      <c r="BI326" s="30"/>
      <c r="BJ326" s="30"/>
      <c r="BK326" s="30"/>
      <c r="BL326" s="30"/>
      <c r="BM326" s="30"/>
      <c r="BN326" s="30"/>
      <c r="BO326" s="30"/>
      <c r="BP326" s="30"/>
      <c r="BQ326" s="30"/>
      <c r="BR326" s="30"/>
      <c r="BS326" s="30"/>
      <c r="BT326" s="30"/>
      <c r="BU326" s="30"/>
      <c r="BV326" s="30"/>
      <c r="BW326" s="30"/>
      <c r="BX326" s="30"/>
    </row>
    <row r="327" spans="1:76" s="31" customFormat="1" ht="16.8">
      <c r="A327" s="21">
        <f>IF(H327&lt;&gt;"",1+MAX($A$8:A326),"")</f>
        <v>201</v>
      </c>
      <c r="B327" s="362"/>
      <c r="C327" s="290" t="s">
        <v>204</v>
      </c>
      <c r="D327" s="286">
        <v>36.299999999999997</v>
      </c>
      <c r="E327" s="287">
        <v>0.05</v>
      </c>
      <c r="F327" s="286">
        <f t="shared" si="231"/>
        <v>38.115000000000002</v>
      </c>
      <c r="G327" s="275" t="s">
        <v>51</v>
      </c>
      <c r="H327" s="288">
        <v>3.9162267199999996</v>
      </c>
      <c r="I327" s="181">
        <f t="shared" si="232"/>
        <v>149.26698143279998</v>
      </c>
      <c r="J327" s="289">
        <v>9.2200000000000006</v>
      </c>
      <c r="K327" s="231">
        <f t="shared" si="233"/>
        <v>4.4624799999999993</v>
      </c>
      <c r="L327" s="231">
        <f>D327/K327</f>
        <v>8.1344902386117148</v>
      </c>
      <c r="M327" s="232">
        <f t="shared" si="234"/>
        <v>75</v>
      </c>
      <c r="N327" s="233">
        <f>D327*J327</f>
        <v>334.68599999999998</v>
      </c>
      <c r="O327" s="284">
        <f>N327+I327</f>
        <v>483.95298143279996</v>
      </c>
      <c r="P327" s="182">
        <f>O327/F327</f>
        <v>12.697179100952379</v>
      </c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  <c r="BH327" s="30"/>
      <c r="BI327" s="30"/>
      <c r="BJ327" s="30"/>
      <c r="BK327" s="30"/>
      <c r="BL327" s="30"/>
      <c r="BM327" s="30"/>
      <c r="BN327" s="30"/>
      <c r="BO327" s="30"/>
      <c r="BP327" s="30"/>
      <c r="BQ327" s="30"/>
      <c r="BR327" s="30"/>
      <c r="BS327" s="30"/>
      <c r="BT327" s="30"/>
      <c r="BU327" s="30"/>
      <c r="BV327" s="30"/>
      <c r="BW327" s="30"/>
      <c r="BX327" s="30"/>
    </row>
    <row r="328" spans="1:76" s="31" customFormat="1" ht="16.8">
      <c r="A328" s="21">
        <f>IF(H328&lt;&gt;"",1+MAX($A$8:A327),"")</f>
        <v>202</v>
      </c>
      <c r="B328" s="362"/>
      <c r="C328" s="290" t="s">
        <v>205</v>
      </c>
      <c r="D328" s="286">
        <v>55.52</v>
      </c>
      <c r="E328" s="287">
        <v>0.05</v>
      </c>
      <c r="F328" s="286">
        <f t="shared" si="231"/>
        <v>58.296000000000006</v>
      </c>
      <c r="G328" s="275" t="s">
        <v>51</v>
      </c>
      <c r="H328" s="288">
        <v>2.2508545600000001</v>
      </c>
      <c r="I328" s="181">
        <f t="shared" si="232"/>
        <v>131.21581742976002</v>
      </c>
      <c r="J328" s="289">
        <v>8.7099999999999991</v>
      </c>
      <c r="K328" s="231">
        <f t="shared" si="233"/>
        <v>6.4477226666666665</v>
      </c>
      <c r="L328" s="231">
        <f>D328/K328</f>
        <v>8.6107921928817461</v>
      </c>
      <c r="M328" s="232">
        <f t="shared" si="234"/>
        <v>75</v>
      </c>
      <c r="N328" s="233">
        <f>D328*J328</f>
        <v>483.57919999999996</v>
      </c>
      <c r="O328" s="284">
        <f>N328+I328</f>
        <v>614.79501742976004</v>
      </c>
      <c r="P328" s="182">
        <f>O328/F328</f>
        <v>10.546092655238095</v>
      </c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  <c r="BH328" s="30"/>
      <c r="BI328" s="30"/>
      <c r="BJ328" s="30"/>
      <c r="BK328" s="30"/>
      <c r="BL328" s="30"/>
      <c r="BM328" s="30"/>
      <c r="BN328" s="30"/>
      <c r="BO328" s="30"/>
      <c r="BP328" s="30"/>
      <c r="BQ328" s="30"/>
      <c r="BR328" s="30"/>
      <c r="BS328" s="30"/>
      <c r="BT328" s="30"/>
      <c r="BU328" s="30"/>
      <c r="BV328" s="30"/>
      <c r="BW328" s="30"/>
      <c r="BX328" s="30"/>
    </row>
    <row r="329" spans="1:76" s="31" customFormat="1" ht="16.8">
      <c r="A329" s="21">
        <f>IF(H329&lt;&gt;"",1+MAX($A$8:A328),"")</f>
        <v>203</v>
      </c>
      <c r="B329" s="362"/>
      <c r="C329" s="290" t="s">
        <v>206</v>
      </c>
      <c r="D329" s="286">
        <v>36.36</v>
      </c>
      <c r="E329" s="287">
        <v>0.05</v>
      </c>
      <c r="F329" s="286">
        <f t="shared" si="231"/>
        <v>38.178000000000004</v>
      </c>
      <c r="G329" s="275" t="s">
        <v>51</v>
      </c>
      <c r="H329" s="288">
        <v>3.9162267199999996</v>
      </c>
      <c r="I329" s="181">
        <f t="shared" si="232"/>
        <v>149.51370371615999</v>
      </c>
      <c r="J329" s="289">
        <v>9.2200000000000006</v>
      </c>
      <c r="K329" s="231">
        <f t="shared" si="233"/>
        <v>4.4698560000000009</v>
      </c>
      <c r="L329" s="231">
        <f>D329/K329</f>
        <v>8.1344902386117113</v>
      </c>
      <c r="M329" s="232">
        <f t="shared" si="234"/>
        <v>75</v>
      </c>
      <c r="N329" s="233">
        <f>D329*J329</f>
        <v>335.23920000000004</v>
      </c>
      <c r="O329" s="284">
        <f>N329+I329</f>
        <v>484.75290371616006</v>
      </c>
      <c r="P329" s="182">
        <f>O329/F329</f>
        <v>12.697179100952381</v>
      </c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  <c r="BH329" s="30"/>
      <c r="BI329" s="30"/>
      <c r="BJ329" s="30"/>
      <c r="BK329" s="30"/>
      <c r="BL329" s="30"/>
      <c r="BM329" s="30"/>
      <c r="BN329" s="30"/>
      <c r="BO329" s="30"/>
      <c r="BP329" s="30"/>
      <c r="BQ329" s="30"/>
      <c r="BR329" s="30"/>
      <c r="BS329" s="30"/>
      <c r="BT329" s="30"/>
      <c r="BU329" s="30"/>
      <c r="BV329" s="30"/>
      <c r="BW329" s="30"/>
      <c r="BX329" s="30"/>
    </row>
    <row r="330" spans="1:76" s="31" customFormat="1" ht="16.8">
      <c r="A330" s="265" t="str">
        <f>IF(H330&lt;&gt;"",1+MAX($A$8:A329),"")</f>
        <v/>
      </c>
      <c r="B330" s="362"/>
      <c r="C330" s="285" t="s">
        <v>207</v>
      </c>
      <c r="D330" s="286"/>
      <c r="E330" s="287"/>
      <c r="F330" s="286"/>
      <c r="G330" s="275"/>
      <c r="H330" s="288"/>
      <c r="I330" s="181"/>
      <c r="J330" s="289"/>
      <c r="K330" s="231"/>
      <c r="L330" s="231"/>
      <c r="M330" s="232"/>
      <c r="N330" s="233"/>
      <c r="O330" s="284"/>
      <c r="P330" s="182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  <c r="BH330" s="30"/>
      <c r="BI330" s="30"/>
      <c r="BJ330" s="30"/>
      <c r="BK330" s="30"/>
      <c r="BL330" s="30"/>
      <c r="BM330" s="30"/>
      <c r="BN330" s="30"/>
      <c r="BO330" s="30"/>
      <c r="BP330" s="30"/>
      <c r="BQ330" s="30"/>
      <c r="BR330" s="30"/>
      <c r="BS330" s="30"/>
      <c r="BT330" s="30"/>
      <c r="BU330" s="30"/>
      <c r="BV330" s="30"/>
      <c r="BW330" s="30"/>
      <c r="BX330" s="30"/>
    </row>
    <row r="331" spans="1:76" s="31" customFormat="1" ht="16.8">
      <c r="A331" s="265">
        <f>IF(H331&lt;&gt;"",1+MAX($A$8:A330),"")</f>
        <v>204</v>
      </c>
      <c r="B331" s="362"/>
      <c r="C331" s="290" t="s">
        <v>208</v>
      </c>
      <c r="D331" s="286">
        <v>6.31</v>
      </c>
      <c r="E331" s="287">
        <v>0.05</v>
      </c>
      <c r="F331" s="286">
        <f t="shared" ref="F331:F335" si="235">(1+E331)*D331</f>
        <v>6.6254999999999997</v>
      </c>
      <c r="G331" s="275" t="s">
        <v>51</v>
      </c>
      <c r="H331" s="288">
        <v>2.4151148999999998</v>
      </c>
      <c r="I331" s="181">
        <f t="shared" ref="I331:I335" si="236">H331*F331</f>
        <v>16.001343769949997</v>
      </c>
      <c r="J331" s="289">
        <v>12.57</v>
      </c>
      <c r="K331" s="231">
        <f t="shared" si="233"/>
        <v>1.0575559999999999</v>
      </c>
      <c r="L331" s="231">
        <f>D331/K331</f>
        <v>5.9665871121718377</v>
      </c>
      <c r="M331" s="232">
        <f t="shared" si="234"/>
        <v>75</v>
      </c>
      <c r="N331" s="233">
        <f>D331*J331</f>
        <v>79.316699999999997</v>
      </c>
      <c r="O331" s="284">
        <f>N331+I331</f>
        <v>95.318043769949995</v>
      </c>
      <c r="P331" s="182">
        <f>O331/F331</f>
        <v>14.38654347142857</v>
      </c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  <c r="BH331" s="30"/>
      <c r="BI331" s="30"/>
      <c r="BJ331" s="30"/>
      <c r="BK331" s="30"/>
      <c r="BL331" s="30"/>
      <c r="BM331" s="30"/>
      <c r="BN331" s="30"/>
      <c r="BO331" s="30"/>
      <c r="BP331" s="30"/>
      <c r="BQ331" s="30"/>
      <c r="BR331" s="30"/>
      <c r="BS331" s="30"/>
      <c r="BT331" s="30"/>
      <c r="BU331" s="30"/>
      <c r="BV331" s="30"/>
      <c r="BW331" s="30"/>
      <c r="BX331" s="30"/>
    </row>
    <row r="332" spans="1:76" s="31" customFormat="1" ht="16.8">
      <c r="A332" s="265">
        <f>IF(H332&lt;&gt;"",1+MAX($A$8:A331),"")</f>
        <v>205</v>
      </c>
      <c r="B332" s="362"/>
      <c r="C332" s="290" t="s">
        <v>209</v>
      </c>
      <c r="D332" s="286">
        <v>51.45</v>
      </c>
      <c r="E332" s="287">
        <v>0.05</v>
      </c>
      <c r="F332" s="286">
        <f t="shared" si="235"/>
        <v>54.022500000000008</v>
      </c>
      <c r="G332" s="275" t="s">
        <v>51</v>
      </c>
      <c r="H332" s="288">
        <v>3.2201531999999995</v>
      </c>
      <c r="I332" s="181">
        <f t="shared" si="236"/>
        <v>173.960726247</v>
      </c>
      <c r="J332" s="289">
        <v>14.66</v>
      </c>
      <c r="K332" s="231">
        <f t="shared" si="233"/>
        <v>10.056760000000001</v>
      </c>
      <c r="L332" s="231">
        <f>D332/K332</f>
        <v>5.1159618008185541</v>
      </c>
      <c r="M332" s="232">
        <f t="shared" si="234"/>
        <v>75</v>
      </c>
      <c r="N332" s="233">
        <f>D332*J332</f>
        <v>754.25700000000006</v>
      </c>
      <c r="O332" s="284">
        <f>N332+I332</f>
        <v>928.21772624700009</v>
      </c>
      <c r="P332" s="182">
        <f>O332/F332</f>
        <v>17.182057961904761</v>
      </c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  <c r="BH332" s="30"/>
      <c r="BI332" s="30"/>
      <c r="BJ332" s="30"/>
      <c r="BK332" s="30"/>
      <c r="BL332" s="30"/>
      <c r="BM332" s="30"/>
      <c r="BN332" s="30"/>
      <c r="BO332" s="30"/>
      <c r="BP332" s="30"/>
      <c r="BQ332" s="30"/>
      <c r="BR332" s="30"/>
      <c r="BS332" s="30"/>
      <c r="BT332" s="30"/>
      <c r="BU332" s="30"/>
      <c r="BV332" s="30"/>
      <c r="BW332" s="30"/>
      <c r="BX332" s="30"/>
    </row>
    <row r="333" spans="1:76" s="31" customFormat="1" ht="16.8">
      <c r="A333" s="265">
        <f>IF(H333&lt;&gt;"",1+MAX($A$8:A332),"")</f>
        <v>206</v>
      </c>
      <c r="B333" s="362"/>
      <c r="C333" s="290" t="s">
        <v>210</v>
      </c>
      <c r="D333" s="286">
        <v>67.52</v>
      </c>
      <c r="E333" s="287">
        <v>0.05</v>
      </c>
      <c r="F333" s="286">
        <f t="shared" si="235"/>
        <v>70.896000000000001</v>
      </c>
      <c r="G333" s="275" t="s">
        <v>51</v>
      </c>
      <c r="H333" s="288">
        <v>4.8302297999999997</v>
      </c>
      <c r="I333" s="181">
        <f t="shared" si="236"/>
        <v>342.44397190079997</v>
      </c>
      <c r="J333" s="289">
        <v>15.92</v>
      </c>
      <c r="K333" s="231">
        <f t="shared" si="233"/>
        <v>14.332245333333333</v>
      </c>
      <c r="L333" s="231">
        <f>D333/K333</f>
        <v>4.7110552763819094</v>
      </c>
      <c r="M333" s="232">
        <f t="shared" si="234"/>
        <v>75</v>
      </c>
      <c r="N333" s="233">
        <f>D333*J333</f>
        <v>1074.9184</v>
      </c>
      <c r="O333" s="284">
        <f>N333+I333</f>
        <v>1417.3623719008001</v>
      </c>
      <c r="P333" s="182">
        <f>O333/F333</f>
        <v>19.992134561904763</v>
      </c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  <c r="BH333" s="30"/>
      <c r="BI333" s="30"/>
      <c r="BJ333" s="30"/>
      <c r="BK333" s="30"/>
      <c r="BL333" s="30"/>
      <c r="BM333" s="30"/>
      <c r="BN333" s="30"/>
      <c r="BO333" s="30"/>
      <c r="BP333" s="30"/>
      <c r="BQ333" s="30"/>
      <c r="BR333" s="30"/>
      <c r="BS333" s="30"/>
      <c r="BT333" s="30"/>
      <c r="BU333" s="30"/>
      <c r="BV333" s="30"/>
      <c r="BW333" s="30"/>
      <c r="BX333" s="30"/>
    </row>
    <row r="334" spans="1:76" s="31" customFormat="1" ht="16.8">
      <c r="A334" s="265">
        <f>IF(H334&lt;&gt;"",1+MAX($A$8:A333),"")</f>
        <v>207</v>
      </c>
      <c r="B334" s="362"/>
      <c r="C334" s="290" t="s">
        <v>211</v>
      </c>
      <c r="D334" s="286">
        <v>10.07</v>
      </c>
      <c r="E334" s="287">
        <v>0.05</v>
      </c>
      <c r="F334" s="286">
        <f t="shared" si="235"/>
        <v>10.573500000000001</v>
      </c>
      <c r="G334" s="275" t="s">
        <v>51</v>
      </c>
      <c r="H334" s="288">
        <v>2.4151148999999998</v>
      </c>
      <c r="I334" s="181">
        <f t="shared" si="236"/>
        <v>25.53621739515</v>
      </c>
      <c r="J334" s="289">
        <v>12.57</v>
      </c>
      <c r="K334" s="231">
        <f t="shared" si="233"/>
        <v>1.6877320000000002</v>
      </c>
      <c r="L334" s="231">
        <f>D334/K334</f>
        <v>5.9665871121718368</v>
      </c>
      <c r="M334" s="232">
        <f t="shared" si="234"/>
        <v>75</v>
      </c>
      <c r="N334" s="233">
        <f>D334*J334</f>
        <v>126.57990000000001</v>
      </c>
      <c r="O334" s="284">
        <f>N334+I334</f>
        <v>152.11611739515001</v>
      </c>
      <c r="P334" s="182">
        <f>O334/F334</f>
        <v>14.38654347142857</v>
      </c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  <c r="BH334" s="30"/>
      <c r="BI334" s="30"/>
      <c r="BJ334" s="30"/>
      <c r="BK334" s="30"/>
      <c r="BL334" s="30"/>
      <c r="BM334" s="30"/>
      <c r="BN334" s="30"/>
      <c r="BO334" s="30"/>
      <c r="BP334" s="30"/>
      <c r="BQ334" s="30"/>
      <c r="BR334" s="30"/>
      <c r="BS334" s="30"/>
      <c r="BT334" s="30"/>
      <c r="BU334" s="30"/>
      <c r="BV334" s="30"/>
      <c r="BW334" s="30"/>
      <c r="BX334" s="30"/>
    </row>
    <row r="335" spans="1:76" s="31" customFormat="1" ht="16.8">
      <c r="A335" s="265">
        <f>IF(H335&lt;&gt;"",1+MAX($A$8:A334),"")</f>
        <v>208</v>
      </c>
      <c r="B335" s="362"/>
      <c r="C335" s="290" t="s">
        <v>212</v>
      </c>
      <c r="D335" s="286">
        <v>68.53</v>
      </c>
      <c r="E335" s="287">
        <v>0.05</v>
      </c>
      <c r="F335" s="286">
        <f t="shared" si="235"/>
        <v>71.956500000000005</v>
      </c>
      <c r="G335" s="275" t="s">
        <v>51</v>
      </c>
      <c r="H335" s="288">
        <v>3.2201531999999995</v>
      </c>
      <c r="I335" s="181">
        <f t="shared" si="236"/>
        <v>231.71095373579999</v>
      </c>
      <c r="J335" s="289">
        <v>15.92</v>
      </c>
      <c r="K335" s="231">
        <f t="shared" si="233"/>
        <v>14.546634666666666</v>
      </c>
      <c r="L335" s="231">
        <f>D335/K335</f>
        <v>4.7110552763819102</v>
      </c>
      <c r="M335" s="232">
        <f t="shared" si="234"/>
        <v>75</v>
      </c>
      <c r="N335" s="233">
        <f>D335*J335</f>
        <v>1090.9975999999999</v>
      </c>
      <c r="O335" s="284">
        <f>N335+I335</f>
        <v>1322.7085537357998</v>
      </c>
      <c r="P335" s="182">
        <f>O335/F335</f>
        <v>18.382057961904756</v>
      </c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  <c r="BH335" s="30"/>
      <c r="BI335" s="30"/>
      <c r="BJ335" s="30"/>
      <c r="BK335" s="30"/>
      <c r="BL335" s="30"/>
      <c r="BM335" s="30"/>
      <c r="BN335" s="30"/>
      <c r="BO335" s="30"/>
      <c r="BP335" s="30"/>
      <c r="BQ335" s="30"/>
      <c r="BR335" s="30"/>
      <c r="BS335" s="30"/>
      <c r="BT335" s="30"/>
      <c r="BU335" s="30"/>
      <c r="BV335" s="30"/>
      <c r="BW335" s="30"/>
      <c r="BX335" s="30"/>
    </row>
    <row r="336" spans="1:76" s="31" customFormat="1" ht="16.8">
      <c r="A336" s="265" t="str">
        <f>IF(H336&lt;&gt;"",1+MAX($A$8:A335),"")</f>
        <v/>
      </c>
      <c r="B336" s="362"/>
      <c r="C336" s="179" t="s">
        <v>88</v>
      </c>
      <c r="D336" s="234"/>
      <c r="E336" s="235"/>
      <c r="F336" s="234"/>
      <c r="G336" s="180"/>
      <c r="H336" s="283"/>
      <c r="I336" s="181"/>
      <c r="J336" s="283"/>
      <c r="K336" s="181"/>
      <c r="L336" s="231"/>
      <c r="M336" s="232"/>
      <c r="N336" s="233"/>
      <c r="O336" s="284"/>
      <c r="P336" s="182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  <c r="BH336" s="30"/>
      <c r="BI336" s="30"/>
      <c r="BJ336" s="30"/>
      <c r="BK336" s="30"/>
      <c r="BL336" s="30"/>
      <c r="BM336" s="30"/>
      <c r="BN336" s="30"/>
      <c r="BO336" s="30"/>
      <c r="BP336" s="30"/>
      <c r="BQ336" s="30"/>
      <c r="BR336" s="30"/>
      <c r="BS336" s="30"/>
      <c r="BT336" s="30"/>
      <c r="BU336" s="30"/>
      <c r="BV336" s="30"/>
      <c r="BW336" s="30"/>
      <c r="BX336" s="30"/>
    </row>
    <row r="337" spans="1:76" s="31" customFormat="1" ht="16.8">
      <c r="A337" s="265">
        <f>IF(H337&lt;&gt;"",1+MAX($A$8:A336),"")</f>
        <v>209</v>
      </c>
      <c r="B337" s="362"/>
      <c r="C337" s="290" t="s">
        <v>213</v>
      </c>
      <c r="D337" s="286">
        <v>2</v>
      </c>
      <c r="E337" s="287">
        <v>0</v>
      </c>
      <c r="F337" s="286">
        <f t="shared" ref="F337:F342" si="237">(1+E337)*D337</f>
        <v>2</v>
      </c>
      <c r="G337" s="275" t="s">
        <v>52</v>
      </c>
      <c r="H337" s="288">
        <v>81.961030640000004</v>
      </c>
      <c r="I337" s="181">
        <f t="shared" ref="I337:I342" si="238">H337*F337</f>
        <v>163.92206128000001</v>
      </c>
      <c r="J337" s="289">
        <v>104.68</v>
      </c>
      <c r="K337" s="231">
        <f t="shared" ref="K337:K342" si="239">N337/M337</f>
        <v>2.791466666666667</v>
      </c>
      <c r="L337" s="231">
        <f t="shared" ref="L337:L342" si="240">D337/K337</f>
        <v>0.71646923958731368</v>
      </c>
      <c r="M337" s="232">
        <f t="shared" si="234"/>
        <v>75</v>
      </c>
      <c r="N337" s="233">
        <f t="shared" ref="N337:N342" si="241">D337*J337</f>
        <v>209.36</v>
      </c>
      <c r="O337" s="284">
        <f t="shared" ref="O337:O342" si="242">N337+I337</f>
        <v>373.28206127999999</v>
      </c>
      <c r="P337" s="182">
        <f t="shared" ref="P337:P342" si="243">O337/F337</f>
        <v>186.64103064</v>
      </c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  <c r="BH337" s="30"/>
      <c r="BI337" s="30"/>
      <c r="BJ337" s="30"/>
      <c r="BK337" s="30"/>
      <c r="BL337" s="30"/>
      <c r="BM337" s="30"/>
      <c r="BN337" s="30"/>
      <c r="BO337" s="30"/>
      <c r="BP337" s="30"/>
      <c r="BQ337" s="30"/>
      <c r="BR337" s="30"/>
      <c r="BS337" s="30"/>
      <c r="BT337" s="30"/>
      <c r="BU337" s="30"/>
      <c r="BV337" s="30"/>
      <c r="BW337" s="30"/>
      <c r="BX337" s="30"/>
    </row>
    <row r="338" spans="1:76" s="31" customFormat="1" ht="16.8">
      <c r="A338" s="265">
        <f>IF(H338&lt;&gt;"",1+MAX($A$8:A337),"")</f>
        <v>210</v>
      </c>
      <c r="B338" s="362"/>
      <c r="C338" s="290" t="s">
        <v>214</v>
      </c>
      <c r="D338" s="286">
        <v>1</v>
      </c>
      <c r="E338" s="287">
        <v>0</v>
      </c>
      <c r="F338" s="286">
        <f t="shared" si="237"/>
        <v>1</v>
      </c>
      <c r="G338" s="275" t="s">
        <v>52</v>
      </c>
      <c r="H338" s="288">
        <v>52.686910639999994</v>
      </c>
      <c r="I338" s="181">
        <f t="shared" si="238"/>
        <v>52.686910639999994</v>
      </c>
      <c r="J338" s="289">
        <v>96.31</v>
      </c>
      <c r="K338" s="231">
        <f t="shared" si="239"/>
        <v>1.2841333333333333</v>
      </c>
      <c r="L338" s="231">
        <f t="shared" si="240"/>
        <v>0.77873533381787974</v>
      </c>
      <c r="M338" s="232">
        <f t="shared" si="234"/>
        <v>75</v>
      </c>
      <c r="N338" s="233">
        <f t="shared" si="241"/>
        <v>96.31</v>
      </c>
      <c r="O338" s="284">
        <f t="shared" si="242"/>
        <v>148.99691064000001</v>
      </c>
      <c r="P338" s="182">
        <f t="shared" si="243"/>
        <v>148.99691064000001</v>
      </c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  <c r="BH338" s="30"/>
      <c r="BI338" s="30"/>
      <c r="BJ338" s="30"/>
      <c r="BK338" s="30"/>
      <c r="BL338" s="30"/>
      <c r="BM338" s="30"/>
      <c r="BN338" s="30"/>
      <c r="BO338" s="30"/>
      <c r="BP338" s="30"/>
      <c r="BQ338" s="30"/>
      <c r="BR338" s="30"/>
      <c r="BS338" s="30"/>
      <c r="BT338" s="30"/>
      <c r="BU338" s="30"/>
      <c r="BV338" s="30"/>
      <c r="BW338" s="30"/>
      <c r="BX338" s="30"/>
    </row>
    <row r="339" spans="1:76" s="31" customFormat="1" ht="16.8">
      <c r="A339" s="265">
        <f>IF(H339&lt;&gt;"",1+MAX($A$8:A338),"")</f>
        <v>211</v>
      </c>
      <c r="B339" s="362"/>
      <c r="C339" s="290" t="s">
        <v>215</v>
      </c>
      <c r="D339" s="286">
        <v>1</v>
      </c>
      <c r="E339" s="287">
        <v>0</v>
      </c>
      <c r="F339" s="286">
        <f t="shared" si="237"/>
        <v>1</v>
      </c>
      <c r="G339" s="275" t="s">
        <v>52</v>
      </c>
      <c r="H339" s="288">
        <v>384.46677599999998</v>
      </c>
      <c r="I339" s="181">
        <f t="shared" si="238"/>
        <v>384.46677599999998</v>
      </c>
      <c r="J339" s="289">
        <v>376.84999999999997</v>
      </c>
      <c r="K339" s="231">
        <f t="shared" si="239"/>
        <v>5.0246666666666666</v>
      </c>
      <c r="L339" s="231">
        <f t="shared" si="240"/>
        <v>0.19901817699349875</v>
      </c>
      <c r="M339" s="232">
        <f t="shared" si="234"/>
        <v>75</v>
      </c>
      <c r="N339" s="233">
        <f t="shared" si="241"/>
        <v>376.84999999999997</v>
      </c>
      <c r="O339" s="284">
        <f t="shared" si="242"/>
        <v>761.31677599999989</v>
      </c>
      <c r="P339" s="182">
        <f t="shared" si="243"/>
        <v>761.31677599999989</v>
      </c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  <c r="BH339" s="30"/>
      <c r="BI339" s="30"/>
      <c r="BJ339" s="30"/>
      <c r="BK339" s="30"/>
      <c r="BL339" s="30"/>
      <c r="BM339" s="30"/>
      <c r="BN339" s="30"/>
      <c r="BO339" s="30"/>
      <c r="BP339" s="30"/>
      <c r="BQ339" s="30"/>
      <c r="BR339" s="30"/>
      <c r="BS339" s="30"/>
      <c r="BT339" s="30"/>
      <c r="BU339" s="30"/>
      <c r="BV339" s="30"/>
      <c r="BW339" s="30"/>
      <c r="BX339" s="30"/>
    </row>
    <row r="340" spans="1:76" s="31" customFormat="1" ht="16.8">
      <c r="A340" s="265">
        <f>IF(H340&lt;&gt;"",1+MAX($A$8:A339),"")</f>
        <v>212</v>
      </c>
      <c r="B340" s="362"/>
      <c r="C340" s="290" t="s">
        <v>216</v>
      </c>
      <c r="D340" s="286">
        <v>2</v>
      </c>
      <c r="E340" s="287">
        <v>0</v>
      </c>
      <c r="F340" s="286">
        <f t="shared" si="237"/>
        <v>2</v>
      </c>
      <c r="G340" s="275" t="s">
        <v>52</v>
      </c>
      <c r="H340" s="288">
        <v>254.359576</v>
      </c>
      <c r="I340" s="181">
        <f t="shared" si="238"/>
        <v>508.71915200000001</v>
      </c>
      <c r="J340" s="289">
        <v>397.78999999999996</v>
      </c>
      <c r="K340" s="231">
        <f t="shared" si="239"/>
        <v>10.607733333333332</v>
      </c>
      <c r="L340" s="231">
        <f t="shared" si="240"/>
        <v>0.18854169285301292</v>
      </c>
      <c r="M340" s="232">
        <f t="shared" si="234"/>
        <v>75</v>
      </c>
      <c r="N340" s="233">
        <f t="shared" si="241"/>
        <v>795.57999999999993</v>
      </c>
      <c r="O340" s="284">
        <f t="shared" si="242"/>
        <v>1304.299152</v>
      </c>
      <c r="P340" s="182">
        <f t="shared" si="243"/>
        <v>652.14957600000002</v>
      </c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  <c r="BH340" s="30"/>
      <c r="BI340" s="30"/>
      <c r="BJ340" s="30"/>
      <c r="BK340" s="30"/>
      <c r="BL340" s="30"/>
      <c r="BM340" s="30"/>
      <c r="BN340" s="30"/>
      <c r="BO340" s="30"/>
      <c r="BP340" s="30"/>
      <c r="BQ340" s="30"/>
      <c r="BR340" s="30"/>
      <c r="BS340" s="30"/>
      <c r="BT340" s="30"/>
      <c r="BU340" s="30"/>
      <c r="BV340" s="30"/>
      <c r="BW340" s="30"/>
      <c r="BX340" s="30"/>
    </row>
    <row r="341" spans="1:76" s="31" customFormat="1" ht="16.8">
      <c r="A341" s="265">
        <f>IF(H341&lt;&gt;"",1+MAX($A$8:A340),"")</f>
        <v>213</v>
      </c>
      <c r="B341" s="362"/>
      <c r="C341" s="290" t="s">
        <v>217</v>
      </c>
      <c r="D341" s="286">
        <v>2</v>
      </c>
      <c r="E341" s="287">
        <v>0</v>
      </c>
      <c r="F341" s="286">
        <f t="shared" si="237"/>
        <v>2</v>
      </c>
      <c r="G341" s="275" t="s">
        <v>52</v>
      </c>
      <c r="H341" s="288">
        <v>249.805824</v>
      </c>
      <c r="I341" s="181">
        <f t="shared" si="238"/>
        <v>499.611648</v>
      </c>
      <c r="J341" s="289">
        <v>274.68</v>
      </c>
      <c r="K341" s="231">
        <f t="shared" si="239"/>
        <v>7.3247999999999998</v>
      </c>
      <c r="L341" s="231">
        <f t="shared" si="240"/>
        <v>0.27304499781564001</v>
      </c>
      <c r="M341" s="232">
        <f t="shared" si="234"/>
        <v>75</v>
      </c>
      <c r="N341" s="233">
        <f t="shared" si="241"/>
        <v>549.36</v>
      </c>
      <c r="O341" s="284">
        <f t="shared" si="242"/>
        <v>1048.971648</v>
      </c>
      <c r="P341" s="182">
        <f t="shared" si="243"/>
        <v>524.48582399999998</v>
      </c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  <c r="BH341" s="30"/>
      <c r="BI341" s="30"/>
      <c r="BJ341" s="30"/>
      <c r="BK341" s="30"/>
      <c r="BL341" s="30"/>
      <c r="BM341" s="30"/>
      <c r="BN341" s="30"/>
      <c r="BO341" s="30"/>
      <c r="BP341" s="30"/>
      <c r="BQ341" s="30"/>
      <c r="BR341" s="30"/>
      <c r="BS341" s="30"/>
      <c r="BT341" s="30"/>
      <c r="BU341" s="30"/>
      <c r="BV341" s="30"/>
      <c r="BW341" s="30"/>
      <c r="BX341" s="30"/>
    </row>
    <row r="342" spans="1:76" s="31" customFormat="1" ht="16.8">
      <c r="A342" s="265">
        <f>IF(H342&lt;&gt;"",1+MAX($A$8:A341),"")</f>
        <v>214</v>
      </c>
      <c r="B342" s="362"/>
      <c r="C342" s="290" t="s">
        <v>218</v>
      </c>
      <c r="D342" s="286">
        <v>2</v>
      </c>
      <c r="E342" s="287">
        <v>0</v>
      </c>
      <c r="F342" s="286">
        <f t="shared" si="237"/>
        <v>2</v>
      </c>
      <c r="G342" s="275" t="s">
        <v>52</v>
      </c>
      <c r="H342" s="288">
        <v>300.61268560000002</v>
      </c>
      <c r="I342" s="181">
        <f t="shared" si="238"/>
        <v>601.22537120000004</v>
      </c>
      <c r="J342" s="289">
        <v>362.61</v>
      </c>
      <c r="K342" s="231">
        <f t="shared" si="239"/>
        <v>9.6696000000000009</v>
      </c>
      <c r="L342" s="231">
        <f t="shared" si="240"/>
        <v>0.20683378836766772</v>
      </c>
      <c r="M342" s="232">
        <f t="shared" si="234"/>
        <v>75</v>
      </c>
      <c r="N342" s="233">
        <f t="shared" si="241"/>
        <v>725.22</v>
      </c>
      <c r="O342" s="284">
        <f t="shared" si="242"/>
        <v>1326.4453712</v>
      </c>
      <c r="P342" s="182">
        <f t="shared" si="243"/>
        <v>663.22268559999998</v>
      </c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  <c r="BH342" s="30"/>
      <c r="BI342" s="30"/>
      <c r="BJ342" s="30"/>
      <c r="BK342" s="30"/>
      <c r="BL342" s="30"/>
      <c r="BM342" s="30"/>
      <c r="BN342" s="30"/>
      <c r="BO342" s="30"/>
      <c r="BP342" s="30"/>
      <c r="BQ342" s="30"/>
      <c r="BR342" s="30"/>
      <c r="BS342" s="30"/>
      <c r="BT342" s="30"/>
      <c r="BU342" s="30"/>
      <c r="BV342" s="30"/>
      <c r="BW342" s="30"/>
      <c r="BX342" s="30"/>
    </row>
    <row r="343" spans="1:76" s="31" customFormat="1" ht="16.8">
      <c r="A343" s="265" t="str">
        <f>IF(H343&lt;&gt;"",1+MAX($A$8:A342),"")</f>
        <v/>
      </c>
      <c r="B343" s="362"/>
      <c r="C343" s="179" t="s">
        <v>219</v>
      </c>
      <c r="D343" s="234"/>
      <c r="E343" s="235"/>
      <c r="F343" s="234"/>
      <c r="G343" s="180"/>
      <c r="H343" s="283"/>
      <c r="I343" s="181"/>
      <c r="J343" s="283"/>
      <c r="K343" s="181"/>
      <c r="L343" s="231"/>
      <c r="M343" s="232"/>
      <c r="N343" s="233"/>
      <c r="O343" s="284"/>
      <c r="P343" s="182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  <c r="BH343" s="30"/>
      <c r="BI343" s="30"/>
      <c r="BJ343" s="30"/>
      <c r="BK343" s="30"/>
      <c r="BL343" s="30"/>
      <c r="BM343" s="30"/>
      <c r="BN343" s="30"/>
      <c r="BO343" s="30"/>
      <c r="BP343" s="30"/>
      <c r="BQ343" s="30"/>
      <c r="BR343" s="30"/>
      <c r="BS343" s="30"/>
      <c r="BT343" s="30"/>
      <c r="BU343" s="30"/>
      <c r="BV343" s="30"/>
      <c r="BW343" s="30"/>
      <c r="BX343" s="30"/>
    </row>
    <row r="344" spans="1:76" s="31" customFormat="1" ht="16.8">
      <c r="A344" s="265">
        <f>IF(H344&lt;&gt;"",1+MAX($A$8:A343),"")</f>
        <v>215</v>
      </c>
      <c r="B344" s="362"/>
      <c r="C344" s="290" t="s">
        <v>220</v>
      </c>
      <c r="D344" s="286">
        <v>1</v>
      </c>
      <c r="E344" s="287">
        <v>0</v>
      </c>
      <c r="F344" s="286">
        <f t="shared" ref="F344" si="244">(1+E344)*D344</f>
        <v>1</v>
      </c>
      <c r="G344" s="275" t="s">
        <v>52</v>
      </c>
      <c r="H344" s="288">
        <v>746.38597424</v>
      </c>
      <c r="I344" s="181">
        <f>H344*F344</f>
        <v>746.38597424</v>
      </c>
      <c r="J344" s="289">
        <v>518.38</v>
      </c>
      <c r="K344" s="231">
        <f t="shared" ref="K344" si="245">N344/M344</f>
        <v>6.9117333333333333</v>
      </c>
      <c r="L344" s="231">
        <f>D344/K344</f>
        <v>0.14468150777421968</v>
      </c>
      <c r="M344" s="232">
        <f t="shared" si="234"/>
        <v>75</v>
      </c>
      <c r="N344" s="233">
        <f>D344*J344</f>
        <v>518.38</v>
      </c>
      <c r="O344" s="284">
        <f>N344+I344</f>
        <v>1264.7659742400001</v>
      </c>
      <c r="P344" s="182">
        <f>O344/F344</f>
        <v>1264.7659742400001</v>
      </c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  <c r="BH344" s="30"/>
      <c r="BI344" s="30"/>
      <c r="BJ344" s="30"/>
      <c r="BK344" s="30"/>
      <c r="BL344" s="30"/>
      <c r="BM344" s="30"/>
      <c r="BN344" s="30"/>
      <c r="BO344" s="30"/>
      <c r="BP344" s="30"/>
      <c r="BQ344" s="30"/>
      <c r="BR344" s="30"/>
      <c r="BS344" s="30"/>
      <c r="BT344" s="30"/>
      <c r="BU344" s="30"/>
      <c r="BV344" s="30"/>
      <c r="BW344" s="30"/>
      <c r="BX344" s="30"/>
    </row>
    <row r="345" spans="1:76" s="31" customFormat="1" ht="16.8">
      <c r="A345" s="265" t="str">
        <f>IF(H345&lt;&gt;"",1+MAX($A$8:A344),"")</f>
        <v/>
      </c>
      <c r="B345" s="362"/>
      <c r="C345" s="179" t="s">
        <v>221</v>
      </c>
      <c r="D345" s="234"/>
      <c r="E345" s="235"/>
      <c r="F345" s="234"/>
      <c r="G345" s="180"/>
      <c r="H345" s="283"/>
      <c r="I345" s="181"/>
      <c r="J345" s="283"/>
      <c r="K345" s="181"/>
      <c r="L345" s="231"/>
      <c r="M345" s="232">
        <f t="shared" si="234"/>
        <v>75</v>
      </c>
      <c r="N345" s="233"/>
      <c r="O345" s="284"/>
      <c r="P345" s="182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  <c r="BH345" s="30"/>
      <c r="BI345" s="30"/>
      <c r="BJ345" s="30"/>
      <c r="BK345" s="30"/>
      <c r="BL345" s="30"/>
      <c r="BM345" s="30"/>
      <c r="BN345" s="30"/>
      <c r="BO345" s="30"/>
      <c r="BP345" s="30"/>
      <c r="BQ345" s="30"/>
      <c r="BR345" s="30"/>
      <c r="BS345" s="30"/>
      <c r="BT345" s="30"/>
      <c r="BU345" s="30"/>
      <c r="BV345" s="30"/>
      <c r="BW345" s="30"/>
      <c r="BX345" s="30"/>
    </row>
    <row r="346" spans="1:76" s="31" customFormat="1" ht="16.8">
      <c r="A346" s="265">
        <f>IF(H346&lt;&gt;"",1+MAX($A$8:A345),"")</f>
        <v>216</v>
      </c>
      <c r="B346" s="362"/>
      <c r="C346" s="290" t="s">
        <v>222</v>
      </c>
      <c r="D346" s="286">
        <v>1</v>
      </c>
      <c r="E346" s="287">
        <v>0</v>
      </c>
      <c r="F346" s="286">
        <f t="shared" ref="F346" si="246">(1+E346)*D346</f>
        <v>1</v>
      </c>
      <c r="G346" s="275" t="s">
        <v>52</v>
      </c>
      <c r="H346" s="288">
        <v>72.209496000000001</v>
      </c>
      <c r="I346" s="181">
        <f>H346*F346</f>
        <v>72.209496000000001</v>
      </c>
      <c r="J346" s="289">
        <v>104.68</v>
      </c>
      <c r="K346" s="231">
        <f t="shared" ref="K346" si="247">N346/M346</f>
        <v>1.3957333333333335</v>
      </c>
      <c r="L346" s="231">
        <f>D346/K346</f>
        <v>0.71646923958731368</v>
      </c>
      <c r="M346" s="232">
        <f t="shared" si="234"/>
        <v>75</v>
      </c>
      <c r="N346" s="233">
        <f>D346*J346</f>
        <v>104.68</v>
      </c>
      <c r="O346" s="284">
        <f>N346+I346</f>
        <v>176.88949600000001</v>
      </c>
      <c r="P346" s="182">
        <f>O346/F346</f>
        <v>176.88949600000001</v>
      </c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  <c r="BH346" s="30"/>
      <c r="BI346" s="30"/>
      <c r="BJ346" s="30"/>
      <c r="BK346" s="30"/>
      <c r="BL346" s="30"/>
      <c r="BM346" s="30"/>
      <c r="BN346" s="30"/>
      <c r="BO346" s="30"/>
      <c r="BP346" s="30"/>
      <c r="BQ346" s="30"/>
      <c r="BR346" s="30"/>
      <c r="BS346" s="30"/>
      <c r="BT346" s="30"/>
      <c r="BU346" s="30"/>
      <c r="BV346" s="30"/>
      <c r="BW346" s="30"/>
      <c r="BX346" s="30"/>
    </row>
    <row r="347" spans="1:76" s="31" customFormat="1" ht="16.8">
      <c r="A347" s="265" t="str">
        <f>IF(H347&lt;&gt;"",1+MAX($A$8:A346),"")</f>
        <v/>
      </c>
      <c r="B347" s="362"/>
      <c r="C347" s="179" t="s">
        <v>111</v>
      </c>
      <c r="D347" s="286"/>
      <c r="E347" s="287"/>
      <c r="F347" s="286"/>
      <c r="G347" s="275"/>
      <c r="H347" s="283"/>
      <c r="I347" s="181"/>
      <c r="J347" s="283"/>
      <c r="K347" s="181"/>
      <c r="L347" s="231"/>
      <c r="M347" s="232"/>
      <c r="N347" s="233"/>
      <c r="O347" s="284"/>
      <c r="P347" s="182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  <c r="BH347" s="30"/>
      <c r="BI347" s="30"/>
      <c r="BJ347" s="30"/>
      <c r="BK347" s="30"/>
      <c r="BL347" s="30"/>
      <c r="BM347" s="30"/>
      <c r="BN347" s="30"/>
      <c r="BO347" s="30"/>
      <c r="BP347" s="30"/>
      <c r="BQ347" s="30"/>
      <c r="BR347" s="30"/>
      <c r="BS347" s="30"/>
      <c r="BT347" s="30"/>
      <c r="BU347" s="30"/>
      <c r="BV347" s="30"/>
      <c r="BW347" s="30"/>
      <c r="BX347" s="30"/>
    </row>
    <row r="348" spans="1:76" s="31" customFormat="1" ht="33.6">
      <c r="A348" s="265">
        <f>IF(H348&lt;&gt;"",1+MAX($A$8:A347),"")</f>
        <v>217</v>
      </c>
      <c r="B348" s="363"/>
      <c r="C348" s="290" t="s">
        <v>223</v>
      </c>
      <c r="D348" s="286">
        <v>1</v>
      </c>
      <c r="E348" s="287">
        <v>0</v>
      </c>
      <c r="F348" s="286">
        <f t="shared" ref="F348" si="248">(1+E348)*D348</f>
        <v>1</v>
      </c>
      <c r="G348" s="275" t="s">
        <v>62</v>
      </c>
      <c r="H348" s="288">
        <v>4883.5086984</v>
      </c>
      <c r="I348" s="181">
        <f>H348*F348</f>
        <v>4883.5086984</v>
      </c>
      <c r="J348" s="289">
        <v>9264.380000000001</v>
      </c>
      <c r="K348" s="231">
        <f t="shared" ref="K348" si="249">N348/M348</f>
        <v>123.52506666666667</v>
      </c>
      <c r="L348" s="231">
        <f>D348/K348</f>
        <v>8.0955228520419066E-3</v>
      </c>
      <c r="M348" s="232">
        <f t="shared" si="234"/>
        <v>75</v>
      </c>
      <c r="N348" s="233">
        <f>D348*J348</f>
        <v>9264.380000000001</v>
      </c>
      <c r="O348" s="284">
        <f>N348+I348</f>
        <v>14147.888698400002</v>
      </c>
      <c r="P348" s="182">
        <f>O348/F348</f>
        <v>14147.888698400002</v>
      </c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  <c r="BH348" s="30"/>
      <c r="BI348" s="30"/>
      <c r="BJ348" s="30"/>
      <c r="BK348" s="30"/>
      <c r="BL348" s="30"/>
      <c r="BM348" s="30"/>
      <c r="BN348" s="30"/>
      <c r="BO348" s="30"/>
      <c r="BP348" s="30"/>
      <c r="BQ348" s="30"/>
      <c r="BR348" s="30"/>
      <c r="BS348" s="30"/>
      <c r="BT348" s="30"/>
      <c r="BU348" s="30"/>
      <c r="BV348" s="30"/>
      <c r="BW348" s="30"/>
      <c r="BX348" s="30"/>
    </row>
    <row r="349" spans="1:76" s="31" customFormat="1" ht="16.8">
      <c r="A349" s="265" t="str">
        <f>IF(H349&lt;&gt;"",1+MAX($A$8:A348),"")</f>
        <v/>
      </c>
      <c r="B349" s="267"/>
      <c r="C349" s="236"/>
      <c r="D349" s="234"/>
      <c r="E349" s="235"/>
      <c r="F349" s="234"/>
      <c r="G349" s="180"/>
      <c r="H349" s="283"/>
      <c r="I349" s="181"/>
      <c r="J349" s="283"/>
      <c r="K349" s="181"/>
      <c r="L349" s="231"/>
      <c r="M349" s="232"/>
      <c r="N349" s="233"/>
      <c r="O349" s="284"/>
      <c r="P349" s="182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  <c r="BH349" s="30"/>
      <c r="BI349" s="30"/>
      <c r="BJ349" s="30"/>
      <c r="BK349" s="30"/>
      <c r="BL349" s="30"/>
      <c r="BM349" s="30"/>
      <c r="BN349" s="30"/>
      <c r="BO349" s="30"/>
      <c r="BP349" s="30"/>
      <c r="BQ349" s="30"/>
      <c r="BR349" s="30"/>
      <c r="BS349" s="30"/>
      <c r="BT349" s="30"/>
      <c r="BU349" s="30"/>
      <c r="BV349" s="30"/>
      <c r="BW349" s="30"/>
      <c r="BX349" s="30"/>
    </row>
    <row r="350" spans="1:76" s="33" customFormat="1" ht="19.2">
      <c r="A350" s="263" t="str">
        <f>IF(H350&lt;&gt;"",1+MAX($A$8:A349),"")</f>
        <v/>
      </c>
      <c r="B350" s="359" t="s">
        <v>89</v>
      </c>
      <c r="C350" s="360"/>
      <c r="D350" s="360"/>
      <c r="E350" s="360"/>
      <c r="F350" s="360"/>
      <c r="G350" s="360"/>
      <c r="H350" s="360"/>
      <c r="I350" s="360"/>
      <c r="J350" s="360"/>
      <c r="K350" s="360"/>
      <c r="L350" s="360"/>
      <c r="M350" s="261">
        <v>75</v>
      </c>
      <c r="N350" s="262"/>
      <c r="O350" s="282">
        <f>SUM(O351:O361)</f>
        <v>23658.691168800004</v>
      </c>
      <c r="P350" s="263"/>
      <c r="Q350" s="30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2"/>
      <c r="AP350" s="32"/>
      <c r="AQ350" s="32"/>
      <c r="AR350" s="32"/>
      <c r="AS350" s="32"/>
      <c r="AT350" s="32"/>
      <c r="AU350" s="32"/>
      <c r="AV350" s="32"/>
      <c r="AW350" s="32"/>
      <c r="AX350" s="32"/>
      <c r="AY350" s="32"/>
      <c r="AZ350" s="32"/>
      <c r="BA350" s="32"/>
      <c r="BB350" s="32"/>
      <c r="BC350" s="32"/>
      <c r="BD350" s="32"/>
      <c r="BE350" s="32"/>
      <c r="BF350" s="32"/>
      <c r="BG350" s="32"/>
      <c r="BH350" s="32"/>
      <c r="BI350" s="32"/>
      <c r="BJ350" s="32"/>
      <c r="BK350" s="32"/>
      <c r="BL350" s="32"/>
      <c r="BM350" s="32"/>
      <c r="BN350" s="32"/>
      <c r="BO350" s="32"/>
      <c r="BP350" s="32"/>
      <c r="BQ350" s="32"/>
    </row>
    <row r="351" spans="1:76" s="31" customFormat="1" ht="16.8">
      <c r="A351" s="265" t="str">
        <f>IF(H351&lt;&gt;"",1+MAX($A$8:A350),"")</f>
        <v/>
      </c>
      <c r="B351" s="267"/>
      <c r="C351" s="236"/>
      <c r="D351" s="234"/>
      <c r="E351" s="235"/>
      <c r="F351" s="234"/>
      <c r="G351" s="180"/>
      <c r="H351" s="283"/>
      <c r="I351" s="181"/>
      <c r="J351" s="283"/>
      <c r="K351" s="181"/>
      <c r="L351" s="231"/>
      <c r="M351" s="232"/>
      <c r="N351" s="233"/>
      <c r="O351" s="284"/>
      <c r="P351" s="182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  <c r="BH351" s="30"/>
      <c r="BI351" s="30"/>
      <c r="BJ351" s="30"/>
      <c r="BK351" s="30"/>
      <c r="BL351" s="30"/>
      <c r="BM351" s="30"/>
      <c r="BN351" s="30"/>
      <c r="BO351" s="30"/>
      <c r="BP351" s="30"/>
      <c r="BQ351" s="30"/>
      <c r="BR351" s="30"/>
      <c r="BS351" s="30"/>
      <c r="BT351" s="30"/>
      <c r="BU351" s="30"/>
      <c r="BV351" s="30"/>
      <c r="BW351" s="30"/>
      <c r="BX351" s="30"/>
    </row>
    <row r="352" spans="1:76" s="31" customFormat="1" ht="16.8">
      <c r="A352" s="307" t="str">
        <f>IF(H352&lt;&gt;"",1+MAX($A$8:A351),"")</f>
        <v/>
      </c>
      <c r="B352" s="361" t="s">
        <v>294</v>
      </c>
      <c r="C352" s="179" t="s">
        <v>352</v>
      </c>
      <c r="D352" s="272"/>
      <c r="E352" s="235"/>
      <c r="F352" s="234"/>
      <c r="G352" s="180"/>
      <c r="H352" s="283"/>
      <c r="I352" s="181"/>
      <c r="J352" s="283"/>
      <c r="K352" s="181"/>
      <c r="L352" s="231"/>
      <c r="M352" s="232"/>
      <c r="N352" s="233"/>
      <c r="O352" s="284"/>
      <c r="P352" s="182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  <c r="BH352" s="30"/>
      <c r="BI352" s="30"/>
      <c r="BJ352" s="30"/>
      <c r="BK352" s="30"/>
      <c r="BL352" s="30"/>
      <c r="BM352" s="30"/>
      <c r="BN352" s="30"/>
      <c r="BO352" s="30"/>
      <c r="BP352" s="30"/>
      <c r="BQ352" s="30"/>
      <c r="BR352" s="30"/>
      <c r="BS352" s="30"/>
      <c r="BT352" s="30"/>
      <c r="BU352" s="30"/>
      <c r="BV352" s="30"/>
      <c r="BW352" s="30"/>
      <c r="BX352" s="30"/>
    </row>
    <row r="353" spans="1:76" s="31" customFormat="1" ht="16.8">
      <c r="A353" s="307">
        <f>IF(H353&lt;&gt;"",1+MAX($A$8:A352),"")</f>
        <v>218</v>
      </c>
      <c r="B353" s="363"/>
      <c r="C353" s="300" t="s">
        <v>353</v>
      </c>
      <c r="D353" s="272">
        <v>1</v>
      </c>
      <c r="E353" s="235">
        <v>0</v>
      </c>
      <c r="F353" s="234">
        <f t="shared" ref="F353" si="250">(1+E353)*D353</f>
        <v>1</v>
      </c>
      <c r="G353" s="180" t="s">
        <v>52</v>
      </c>
      <c r="H353" s="288">
        <v>967.997568</v>
      </c>
      <c r="I353" s="181">
        <f>H353*F353</f>
        <v>967.997568</v>
      </c>
      <c r="J353" s="289">
        <v>313.56</v>
      </c>
      <c r="K353" s="231">
        <f t="shared" ref="K353" si="251">N353/M353</f>
        <v>4.1807999999999996</v>
      </c>
      <c r="L353" s="231">
        <f>D353/K353</f>
        <v>0.23918867202449295</v>
      </c>
      <c r="M353" s="232">
        <f>$M$350</f>
        <v>75</v>
      </c>
      <c r="N353" s="233">
        <f>D353*J353</f>
        <v>313.56</v>
      </c>
      <c r="O353" s="284">
        <f>N353+I353</f>
        <v>1281.5575679999999</v>
      </c>
      <c r="P353" s="182">
        <f>O353/F353</f>
        <v>1281.5575679999999</v>
      </c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  <c r="BH353" s="30"/>
      <c r="BI353" s="30"/>
      <c r="BJ353" s="30"/>
      <c r="BK353" s="30"/>
      <c r="BL353" s="30"/>
      <c r="BM353" s="30"/>
      <c r="BN353" s="30"/>
      <c r="BO353" s="30"/>
      <c r="BP353" s="30"/>
      <c r="BQ353" s="30"/>
      <c r="BR353" s="30"/>
      <c r="BS353" s="30"/>
      <c r="BT353" s="30"/>
      <c r="BU353" s="30"/>
      <c r="BV353" s="30"/>
      <c r="BW353" s="30"/>
      <c r="BX353" s="30"/>
    </row>
    <row r="354" spans="1:76" s="31" customFormat="1" ht="16.8">
      <c r="A354" s="265" t="str">
        <f>IF(H354&lt;&gt;"",1+MAX($A$8:A353),"")</f>
        <v/>
      </c>
      <c r="B354" s="361" t="s">
        <v>224</v>
      </c>
      <c r="C354" s="291" t="s">
        <v>141</v>
      </c>
      <c r="D354" s="234"/>
      <c r="E354" s="235"/>
      <c r="F354" s="234"/>
      <c r="G354" s="180"/>
      <c r="H354" s="283"/>
      <c r="I354" s="181"/>
      <c r="J354" s="283"/>
      <c r="K354" s="181"/>
      <c r="L354" s="231"/>
      <c r="M354" s="232"/>
      <c r="N354" s="233"/>
      <c r="O354" s="284"/>
      <c r="P354" s="182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  <c r="BH354" s="30"/>
      <c r="BI354" s="30"/>
      <c r="BJ354" s="30"/>
      <c r="BK354" s="30"/>
      <c r="BL354" s="30"/>
      <c r="BM354" s="30"/>
      <c r="BN354" s="30"/>
      <c r="BO354" s="30"/>
      <c r="BP354" s="30"/>
      <c r="BQ354" s="30"/>
      <c r="BR354" s="30"/>
      <c r="BS354" s="30"/>
      <c r="BT354" s="30"/>
      <c r="BU354" s="30"/>
      <c r="BV354" s="30"/>
      <c r="BW354" s="30"/>
      <c r="BX354" s="30"/>
    </row>
    <row r="355" spans="1:76" s="31" customFormat="1" ht="16.8">
      <c r="A355" s="265">
        <f>IF(H355&lt;&gt;"",1+MAX($A$8:A354),"")</f>
        <v>219</v>
      </c>
      <c r="B355" s="362"/>
      <c r="C355" s="236" t="s">
        <v>225</v>
      </c>
      <c r="D355" s="234">
        <v>1</v>
      </c>
      <c r="E355" s="235">
        <v>0</v>
      </c>
      <c r="F355" s="234">
        <f>(1+E355)*D355</f>
        <v>1</v>
      </c>
      <c r="G355" s="180" t="s">
        <v>52</v>
      </c>
      <c r="H355" s="288">
        <v>2188.403104</v>
      </c>
      <c r="I355" s="181">
        <f t="shared" ref="I355:I358" si="252">H355*F355</f>
        <v>2188.403104</v>
      </c>
      <c r="J355" s="289">
        <v>680.51</v>
      </c>
      <c r="K355" s="231">
        <f t="shared" ref="K355:K358" si="253">N355/M355</f>
        <v>9.0734666666666666</v>
      </c>
      <c r="L355" s="231">
        <f>D355/K355</f>
        <v>0.11021145905276925</v>
      </c>
      <c r="M355" s="232">
        <f t="shared" ref="M355:M360" si="254">$M$350</f>
        <v>75</v>
      </c>
      <c r="N355" s="233">
        <f>D355*J355</f>
        <v>680.51</v>
      </c>
      <c r="O355" s="284">
        <f>N355+I355</f>
        <v>2868.9131040000002</v>
      </c>
      <c r="P355" s="182">
        <f>O355/F355</f>
        <v>2868.9131040000002</v>
      </c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  <c r="BH355" s="30"/>
      <c r="BI355" s="30"/>
      <c r="BJ355" s="30"/>
      <c r="BK355" s="30"/>
      <c r="BL355" s="30"/>
      <c r="BM355" s="30"/>
      <c r="BN355" s="30"/>
      <c r="BO355" s="30"/>
      <c r="BP355" s="30"/>
      <c r="BQ355" s="30"/>
      <c r="BR355" s="30"/>
      <c r="BS355" s="30"/>
      <c r="BT355" s="30"/>
      <c r="BU355" s="30"/>
      <c r="BV355" s="30"/>
      <c r="BW355" s="30"/>
      <c r="BX355" s="30"/>
    </row>
    <row r="356" spans="1:76" s="31" customFormat="1" ht="16.8">
      <c r="A356" s="265">
        <f>IF(H356&lt;&gt;"",1+MAX($A$8:A355),"")</f>
        <v>220</v>
      </c>
      <c r="B356" s="362"/>
      <c r="C356" s="236" t="s">
        <v>226</v>
      </c>
      <c r="D356" s="234">
        <v>2</v>
      </c>
      <c r="E356" s="235">
        <v>0</v>
      </c>
      <c r="F356" s="234">
        <f t="shared" ref="F356:F358" si="255">(1+E356)*D356</f>
        <v>2</v>
      </c>
      <c r="G356" s="180" t="s">
        <v>52</v>
      </c>
      <c r="H356" s="288">
        <v>1749.94184</v>
      </c>
      <c r="I356" s="181">
        <f t="shared" si="252"/>
        <v>3499.8836799999999</v>
      </c>
      <c r="J356" s="289">
        <v>544.16999999999996</v>
      </c>
      <c r="K356" s="231">
        <f t="shared" si="253"/>
        <v>14.511199999999999</v>
      </c>
      <c r="L356" s="231">
        <f>D356/K356</f>
        <v>0.13782457687854899</v>
      </c>
      <c r="M356" s="232">
        <f t="shared" si="254"/>
        <v>75</v>
      </c>
      <c r="N356" s="233">
        <f>D356*J356</f>
        <v>1088.3399999999999</v>
      </c>
      <c r="O356" s="284">
        <f>N356+I356</f>
        <v>4588.2236800000001</v>
      </c>
      <c r="P356" s="182">
        <f>O356/F356</f>
        <v>2294.11184</v>
      </c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  <c r="BH356" s="30"/>
      <c r="BI356" s="30"/>
      <c r="BJ356" s="30"/>
      <c r="BK356" s="30"/>
      <c r="BL356" s="30"/>
      <c r="BM356" s="30"/>
      <c r="BN356" s="30"/>
      <c r="BO356" s="30"/>
      <c r="BP356" s="30"/>
      <c r="BQ356" s="30"/>
      <c r="BR356" s="30"/>
      <c r="BS356" s="30"/>
      <c r="BT356" s="30"/>
      <c r="BU356" s="30"/>
      <c r="BV356" s="30"/>
      <c r="BW356" s="30"/>
      <c r="BX356" s="30"/>
    </row>
    <row r="357" spans="1:76" s="31" customFormat="1" ht="16.8">
      <c r="A357" s="265">
        <f>IF(H357&lt;&gt;"",1+MAX($A$8:A356),"")</f>
        <v>221</v>
      </c>
      <c r="B357" s="362"/>
      <c r="C357" s="236" t="s">
        <v>227</v>
      </c>
      <c r="D357" s="234">
        <v>3</v>
      </c>
      <c r="E357" s="235">
        <v>0</v>
      </c>
      <c r="F357" s="234">
        <f t="shared" si="255"/>
        <v>3</v>
      </c>
      <c r="G357" s="180" t="s">
        <v>52</v>
      </c>
      <c r="H357" s="288">
        <v>143.11792</v>
      </c>
      <c r="I357" s="181">
        <f t="shared" si="252"/>
        <v>429.35375999999997</v>
      </c>
      <c r="J357" s="289">
        <v>74.850000000000009</v>
      </c>
      <c r="K357" s="231">
        <f t="shared" si="253"/>
        <v>2.9940000000000002</v>
      </c>
      <c r="L357" s="231">
        <f>D357/K357</f>
        <v>1.002004008016032</v>
      </c>
      <c r="M357" s="232">
        <f t="shared" si="254"/>
        <v>75</v>
      </c>
      <c r="N357" s="233">
        <f>D357*J357</f>
        <v>224.55</v>
      </c>
      <c r="O357" s="284">
        <f>N357+I357</f>
        <v>653.90375999999992</v>
      </c>
      <c r="P357" s="182">
        <f>O357/F357</f>
        <v>217.96791999999996</v>
      </c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  <c r="BH357" s="30"/>
      <c r="BI357" s="30"/>
      <c r="BJ357" s="30"/>
      <c r="BK357" s="30"/>
      <c r="BL357" s="30"/>
      <c r="BM357" s="30"/>
      <c r="BN357" s="30"/>
      <c r="BO357" s="30"/>
      <c r="BP357" s="30"/>
      <c r="BQ357" s="30"/>
      <c r="BR357" s="30"/>
      <c r="BS357" s="30"/>
      <c r="BT357" s="30"/>
      <c r="BU357" s="30"/>
      <c r="BV357" s="30"/>
      <c r="BW357" s="30"/>
      <c r="BX357" s="30"/>
    </row>
    <row r="358" spans="1:76" s="31" customFormat="1" ht="16.8">
      <c r="A358" s="265">
        <f>IF(H358&lt;&gt;"",1+MAX($A$8:A357),"")</f>
        <v>222</v>
      </c>
      <c r="B358" s="362"/>
      <c r="C358" s="236" t="s">
        <v>228</v>
      </c>
      <c r="D358" s="234">
        <v>1</v>
      </c>
      <c r="E358" s="235">
        <v>0</v>
      </c>
      <c r="F358" s="234">
        <f t="shared" si="255"/>
        <v>1</v>
      </c>
      <c r="G358" s="180" t="s">
        <v>52</v>
      </c>
      <c r="H358" s="288">
        <v>1088.9972640000001</v>
      </c>
      <c r="I358" s="181">
        <f t="shared" si="252"/>
        <v>1088.9972640000001</v>
      </c>
      <c r="J358" s="289">
        <v>338.64</v>
      </c>
      <c r="K358" s="231">
        <f t="shared" si="253"/>
        <v>4.5152000000000001</v>
      </c>
      <c r="L358" s="231">
        <f>D358/K358</f>
        <v>0.22147413182140324</v>
      </c>
      <c r="M358" s="232">
        <f t="shared" si="254"/>
        <v>75</v>
      </c>
      <c r="N358" s="233">
        <f>D358*J358</f>
        <v>338.64</v>
      </c>
      <c r="O358" s="284">
        <f>N358+I358</f>
        <v>1427.637264</v>
      </c>
      <c r="P358" s="182">
        <f>O358/F358</f>
        <v>1427.637264</v>
      </c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  <c r="BH358" s="30"/>
      <c r="BI358" s="30"/>
      <c r="BJ358" s="30"/>
      <c r="BK358" s="30"/>
      <c r="BL358" s="30"/>
      <c r="BM358" s="30"/>
      <c r="BN358" s="30"/>
      <c r="BO358" s="30"/>
      <c r="BP358" s="30"/>
      <c r="BQ358" s="30"/>
      <c r="BR358" s="30"/>
      <c r="BS358" s="30"/>
      <c r="BT358" s="30"/>
      <c r="BU358" s="30"/>
      <c r="BV358" s="30"/>
      <c r="BW358" s="30"/>
      <c r="BX358" s="30"/>
    </row>
    <row r="359" spans="1:76" s="31" customFormat="1" ht="16.8">
      <c r="A359" s="265" t="str">
        <f>IF(H359&lt;&gt;"",1+MAX($A$8:A358),"")</f>
        <v/>
      </c>
      <c r="B359" s="362"/>
      <c r="C359" s="179" t="s">
        <v>111</v>
      </c>
      <c r="D359" s="286"/>
      <c r="E359" s="287"/>
      <c r="F359" s="286"/>
      <c r="G359" s="275"/>
      <c r="H359" s="283"/>
      <c r="I359" s="181"/>
      <c r="J359" s="283"/>
      <c r="K359" s="181"/>
      <c r="L359" s="231"/>
      <c r="M359" s="232"/>
      <c r="N359" s="233"/>
      <c r="O359" s="284"/>
      <c r="P359" s="182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  <c r="BH359" s="30"/>
      <c r="BI359" s="30"/>
      <c r="BJ359" s="30"/>
      <c r="BK359" s="30"/>
      <c r="BL359" s="30"/>
      <c r="BM359" s="30"/>
      <c r="BN359" s="30"/>
      <c r="BO359" s="30"/>
      <c r="BP359" s="30"/>
      <c r="BQ359" s="30"/>
      <c r="BR359" s="30"/>
      <c r="BS359" s="30"/>
      <c r="BT359" s="30"/>
      <c r="BU359" s="30"/>
      <c r="BV359" s="30"/>
      <c r="BW359" s="30"/>
      <c r="BX359" s="30"/>
    </row>
    <row r="360" spans="1:76" s="31" customFormat="1" ht="53.25" customHeight="1">
      <c r="A360" s="265">
        <f>IF(H360&lt;&gt;"",1+MAX($A$8:A359),"")</f>
        <v>223</v>
      </c>
      <c r="B360" s="363"/>
      <c r="C360" s="290" t="s">
        <v>229</v>
      </c>
      <c r="D360" s="286">
        <v>1</v>
      </c>
      <c r="E360" s="287">
        <v>0</v>
      </c>
      <c r="F360" s="286">
        <f t="shared" ref="F360" si="256">(1+E360)*D360</f>
        <v>1</v>
      </c>
      <c r="G360" s="275" t="s">
        <v>62</v>
      </c>
      <c r="H360" s="288">
        <v>5911.6157928000011</v>
      </c>
      <c r="I360" s="181">
        <f>H360*F360</f>
        <v>5911.6157928000011</v>
      </c>
      <c r="J360" s="289">
        <v>6926.84</v>
      </c>
      <c r="K360" s="231">
        <f t="shared" ref="K360" si="257">N360/M360</f>
        <v>92.357866666666666</v>
      </c>
      <c r="L360" s="231">
        <f>D360/K360</f>
        <v>1.0827448013812937E-2</v>
      </c>
      <c r="M360" s="232">
        <f t="shared" si="254"/>
        <v>75</v>
      </c>
      <c r="N360" s="233">
        <f>D360*J360</f>
        <v>6926.84</v>
      </c>
      <c r="O360" s="284">
        <f>N360+I360</f>
        <v>12838.455792800001</v>
      </c>
      <c r="P360" s="182">
        <f>O360/F360</f>
        <v>12838.455792800001</v>
      </c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  <c r="BH360" s="30"/>
      <c r="BI360" s="30"/>
      <c r="BJ360" s="30"/>
      <c r="BK360" s="30"/>
      <c r="BL360" s="30"/>
      <c r="BM360" s="30"/>
      <c r="BN360" s="30"/>
      <c r="BO360" s="30"/>
      <c r="BP360" s="30"/>
      <c r="BQ360" s="30"/>
      <c r="BR360" s="30"/>
      <c r="BS360" s="30"/>
      <c r="BT360" s="30"/>
      <c r="BU360" s="30"/>
      <c r="BV360" s="30"/>
      <c r="BW360" s="30"/>
      <c r="BX360" s="30"/>
    </row>
    <row r="361" spans="1:76" s="31" customFormat="1" ht="16.8">
      <c r="A361" s="265" t="str">
        <f>IF(H361&lt;&gt;"",1+MAX($A$8:A360),"")</f>
        <v/>
      </c>
      <c r="B361" s="267"/>
      <c r="C361" s="236"/>
      <c r="D361" s="234"/>
      <c r="E361" s="235"/>
      <c r="F361" s="234"/>
      <c r="G361" s="180"/>
      <c r="H361" s="283"/>
      <c r="I361" s="181"/>
      <c r="J361" s="283"/>
      <c r="K361" s="181"/>
      <c r="L361" s="231"/>
      <c r="M361" s="232"/>
      <c r="N361" s="233"/>
      <c r="O361" s="284"/>
      <c r="P361" s="182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  <c r="BH361" s="30"/>
      <c r="BI361" s="30"/>
      <c r="BJ361" s="30"/>
      <c r="BK361" s="30"/>
      <c r="BL361" s="30"/>
      <c r="BM361" s="30"/>
      <c r="BN361" s="30"/>
      <c r="BO361" s="30"/>
      <c r="BP361" s="30"/>
      <c r="BQ361" s="30"/>
      <c r="BR361" s="30"/>
      <c r="BS361" s="30"/>
      <c r="BT361" s="30"/>
      <c r="BU361" s="30"/>
      <c r="BV361" s="30"/>
      <c r="BW361" s="30"/>
      <c r="BX361" s="30"/>
    </row>
    <row r="362" spans="1:76" s="33" customFormat="1" ht="19.2">
      <c r="A362" s="263" t="str">
        <f>IF(H362&lt;&gt;"",1+MAX($A$8:A361),"")</f>
        <v/>
      </c>
      <c r="B362" s="359" t="s">
        <v>90</v>
      </c>
      <c r="C362" s="360"/>
      <c r="D362" s="360"/>
      <c r="E362" s="360"/>
      <c r="F362" s="360"/>
      <c r="G362" s="360"/>
      <c r="H362" s="360"/>
      <c r="I362" s="360"/>
      <c r="J362" s="360"/>
      <c r="K362" s="360"/>
      <c r="L362" s="360"/>
      <c r="M362" s="261">
        <v>75</v>
      </c>
      <c r="N362" s="262"/>
      <c r="O362" s="282">
        <f>SUM(O363:O383)</f>
        <v>35277.35629856</v>
      </c>
      <c r="P362" s="263"/>
      <c r="Q362" s="30"/>
      <c r="R362" s="32"/>
      <c r="S362" s="32"/>
      <c r="T362" s="32"/>
      <c r="U362" s="32"/>
      <c r="V362" s="32"/>
      <c r="W362" s="32"/>
      <c r="X362" s="32"/>
      <c r="Y362" s="32"/>
      <c r="Z362" s="32"/>
      <c r="AA362" s="32"/>
      <c r="AB362" s="32"/>
      <c r="AC362" s="32"/>
      <c r="AD362" s="32"/>
      <c r="AE362" s="32"/>
      <c r="AF362" s="32"/>
      <c r="AG362" s="32"/>
      <c r="AH362" s="32"/>
      <c r="AI362" s="32"/>
      <c r="AJ362" s="32"/>
      <c r="AK362" s="32"/>
      <c r="AL362" s="32"/>
      <c r="AM362" s="32"/>
      <c r="AN362" s="32"/>
      <c r="AO362" s="32"/>
      <c r="AP362" s="32"/>
      <c r="AQ362" s="32"/>
      <c r="AR362" s="32"/>
      <c r="AS362" s="32"/>
      <c r="AT362" s="32"/>
      <c r="AU362" s="32"/>
      <c r="AV362" s="32"/>
      <c r="AW362" s="32"/>
      <c r="AX362" s="32"/>
      <c r="AY362" s="32"/>
      <c r="AZ362" s="32"/>
      <c r="BA362" s="32"/>
      <c r="BB362" s="32"/>
      <c r="BC362" s="32"/>
      <c r="BD362" s="32"/>
      <c r="BE362" s="32"/>
      <c r="BF362" s="32"/>
      <c r="BG362" s="32"/>
      <c r="BH362" s="32"/>
      <c r="BI362" s="32"/>
      <c r="BJ362" s="32"/>
      <c r="BK362" s="32"/>
      <c r="BL362" s="32"/>
      <c r="BM362" s="32"/>
      <c r="BN362" s="32"/>
      <c r="BO362" s="32"/>
      <c r="BP362" s="32"/>
      <c r="BQ362" s="32"/>
    </row>
    <row r="363" spans="1:76" s="31" customFormat="1" ht="16.8">
      <c r="A363" s="265" t="str">
        <f>IF(H363&lt;&gt;"",1+MAX($A$8:A362),"")</f>
        <v/>
      </c>
      <c r="B363" s="267"/>
      <c r="C363" s="236"/>
      <c r="D363" s="234"/>
      <c r="E363" s="235"/>
      <c r="F363" s="234"/>
      <c r="G363" s="180"/>
      <c r="H363" s="283"/>
      <c r="I363" s="181"/>
      <c r="J363" s="283"/>
      <c r="K363" s="181"/>
      <c r="L363" s="231"/>
      <c r="M363" s="232"/>
      <c r="N363" s="233"/>
      <c r="O363" s="284"/>
      <c r="P363" s="182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  <c r="BH363" s="30"/>
      <c r="BI363" s="30"/>
      <c r="BJ363" s="30"/>
      <c r="BK363" s="30"/>
      <c r="BL363" s="30"/>
      <c r="BM363" s="30"/>
      <c r="BN363" s="30"/>
      <c r="BO363" s="30"/>
      <c r="BP363" s="30"/>
      <c r="BQ363" s="30"/>
      <c r="BR363" s="30"/>
      <c r="BS363" s="30"/>
      <c r="BT363" s="30"/>
      <c r="BU363" s="30"/>
      <c r="BV363" s="30"/>
      <c r="BW363" s="30"/>
      <c r="BX363" s="30"/>
    </row>
    <row r="364" spans="1:76" s="31" customFormat="1" ht="16.8">
      <c r="A364" s="265" t="str">
        <f>IF(H364&lt;&gt;"",1+MAX($A$8:A363),"")</f>
        <v/>
      </c>
      <c r="B364" s="361" t="s">
        <v>200</v>
      </c>
      <c r="C364" s="68" t="s">
        <v>230</v>
      </c>
      <c r="D364" s="234"/>
      <c r="E364" s="235"/>
      <c r="F364" s="234"/>
      <c r="G364" s="180"/>
      <c r="H364" s="283"/>
      <c r="I364" s="181"/>
      <c r="J364" s="283"/>
      <c r="K364" s="181"/>
      <c r="L364" s="231"/>
      <c r="M364" s="232"/>
      <c r="N364" s="233"/>
      <c r="O364" s="284"/>
      <c r="P364" s="182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  <c r="BH364" s="30"/>
      <c r="BI364" s="30"/>
      <c r="BJ364" s="30"/>
      <c r="BK364" s="30"/>
      <c r="BL364" s="30"/>
      <c r="BM364" s="30"/>
      <c r="BN364" s="30"/>
      <c r="BO364" s="30"/>
      <c r="BP364" s="30"/>
      <c r="BQ364" s="30"/>
      <c r="BR364" s="30"/>
      <c r="BS364" s="30"/>
      <c r="BT364" s="30"/>
      <c r="BU364" s="30"/>
      <c r="BV364" s="30"/>
      <c r="BW364" s="30"/>
      <c r="BX364" s="30"/>
    </row>
    <row r="365" spans="1:76" s="31" customFormat="1" ht="16.8">
      <c r="A365" s="265">
        <f>IF(H365&lt;&gt;"",1+MAX($A$8:A364),"")</f>
        <v>224</v>
      </c>
      <c r="B365" s="362"/>
      <c r="C365" s="236" t="s">
        <v>231</v>
      </c>
      <c r="D365" s="234">
        <v>29</v>
      </c>
      <c r="E365" s="235">
        <v>0</v>
      </c>
      <c r="F365" s="234">
        <f t="shared" ref="F365:F368" si="258">(1+E365)*D365</f>
        <v>29</v>
      </c>
      <c r="G365" s="180" t="s">
        <v>52</v>
      </c>
      <c r="H365" s="288">
        <v>13.225396879999998</v>
      </c>
      <c r="I365" s="181">
        <f t="shared" ref="I365:I368" si="259">H365*F365</f>
        <v>383.53650951999992</v>
      </c>
      <c r="J365" s="289">
        <v>51.32</v>
      </c>
      <c r="K365" s="231">
        <f t="shared" ref="K365:K368" si="260">N365/M365</f>
        <v>19.843733333333333</v>
      </c>
      <c r="L365" s="231">
        <f>D365/K365</f>
        <v>1.4614185502727981</v>
      </c>
      <c r="M365" s="232">
        <f>$M$362</f>
        <v>75</v>
      </c>
      <c r="N365" s="233">
        <f>D365*J365</f>
        <v>1488.28</v>
      </c>
      <c r="O365" s="284">
        <f>N365+I365</f>
        <v>1871.81650952</v>
      </c>
      <c r="P365" s="182">
        <f>O365/F365</f>
        <v>64.545396879999998</v>
      </c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  <c r="AY365" s="30"/>
      <c r="AZ365" s="30"/>
      <c r="BA365" s="30"/>
      <c r="BB365" s="30"/>
      <c r="BC365" s="30"/>
      <c r="BD365" s="30"/>
      <c r="BE365" s="30"/>
      <c r="BF365" s="30"/>
      <c r="BG365" s="30"/>
      <c r="BH365" s="30"/>
      <c r="BI365" s="30"/>
      <c r="BJ365" s="30"/>
      <c r="BK365" s="30"/>
      <c r="BL365" s="30"/>
      <c r="BM365" s="30"/>
      <c r="BN365" s="30"/>
      <c r="BO365" s="30"/>
      <c r="BP365" s="30"/>
      <c r="BQ365" s="30"/>
      <c r="BR365" s="30"/>
      <c r="BS365" s="30"/>
      <c r="BT365" s="30"/>
      <c r="BU365" s="30"/>
      <c r="BV365" s="30"/>
      <c r="BW365" s="30"/>
      <c r="BX365" s="30"/>
    </row>
    <row r="366" spans="1:76" s="31" customFormat="1" ht="16.8">
      <c r="A366" s="265">
        <f>IF(H366&lt;&gt;"",1+MAX($A$8:A365),"")</f>
        <v>225</v>
      </c>
      <c r="B366" s="362"/>
      <c r="C366" s="236" t="s">
        <v>232</v>
      </c>
      <c r="D366" s="234">
        <v>7</v>
      </c>
      <c r="E366" s="235">
        <v>0</v>
      </c>
      <c r="F366" s="234">
        <f t="shared" si="258"/>
        <v>7</v>
      </c>
      <c r="G366" s="180" t="s">
        <v>52</v>
      </c>
      <c r="H366" s="288">
        <v>14.663081439999999</v>
      </c>
      <c r="I366" s="181">
        <f t="shared" si="259"/>
        <v>102.64157007999999</v>
      </c>
      <c r="J366" s="289">
        <v>56.9</v>
      </c>
      <c r="K366" s="231">
        <f t="shared" si="260"/>
        <v>5.3106666666666671</v>
      </c>
      <c r="L366" s="231">
        <f>D366/K366</f>
        <v>1.3181019332161685</v>
      </c>
      <c r="M366" s="232">
        <f t="shared" ref="M366:M383" si="261">$M$362</f>
        <v>75</v>
      </c>
      <c r="N366" s="233">
        <f>D366*J366</f>
        <v>398.3</v>
      </c>
      <c r="O366" s="284">
        <f>N366+I366</f>
        <v>500.94157008000002</v>
      </c>
      <c r="P366" s="182">
        <f>O366/F366</f>
        <v>71.563081440000005</v>
      </c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  <c r="AP366" s="30"/>
      <c r="AQ366" s="30"/>
      <c r="AR366" s="30"/>
      <c r="AS366" s="30"/>
      <c r="AT366" s="30"/>
      <c r="AU366" s="30"/>
      <c r="AV366" s="30"/>
      <c r="AW366" s="30"/>
      <c r="AX366" s="30"/>
      <c r="AY366" s="30"/>
      <c r="AZ366" s="30"/>
      <c r="BA366" s="30"/>
      <c r="BB366" s="30"/>
      <c r="BC366" s="30"/>
      <c r="BD366" s="30"/>
      <c r="BE366" s="30"/>
      <c r="BF366" s="30"/>
      <c r="BG366" s="30"/>
      <c r="BH366" s="30"/>
      <c r="BI366" s="30"/>
      <c r="BJ366" s="30"/>
      <c r="BK366" s="30"/>
      <c r="BL366" s="30"/>
      <c r="BM366" s="30"/>
      <c r="BN366" s="30"/>
      <c r="BO366" s="30"/>
      <c r="BP366" s="30"/>
      <c r="BQ366" s="30"/>
      <c r="BR366" s="30"/>
      <c r="BS366" s="30"/>
      <c r="BT366" s="30"/>
      <c r="BU366" s="30"/>
      <c r="BV366" s="30"/>
      <c r="BW366" s="30"/>
      <c r="BX366" s="30"/>
    </row>
    <row r="367" spans="1:76" s="31" customFormat="1" ht="16.8">
      <c r="A367" s="265">
        <f>IF(H367&lt;&gt;"",1+MAX($A$8:A366),"")</f>
        <v>226</v>
      </c>
      <c r="B367" s="362"/>
      <c r="C367" s="236" t="s">
        <v>233</v>
      </c>
      <c r="D367" s="234">
        <v>9</v>
      </c>
      <c r="E367" s="235">
        <v>0</v>
      </c>
      <c r="F367" s="234">
        <f t="shared" si="258"/>
        <v>9</v>
      </c>
      <c r="G367" s="180" t="s">
        <v>52</v>
      </c>
      <c r="H367" s="288">
        <v>19.925917679999998</v>
      </c>
      <c r="I367" s="181">
        <f t="shared" si="259"/>
        <v>179.33325911999998</v>
      </c>
      <c r="J367" s="289">
        <v>77.320000000000007</v>
      </c>
      <c r="K367" s="231">
        <f t="shared" si="260"/>
        <v>9.2784000000000013</v>
      </c>
      <c r="L367" s="231">
        <f>D367/K367</f>
        <v>0.96999482669425752</v>
      </c>
      <c r="M367" s="232">
        <f t="shared" si="261"/>
        <v>75</v>
      </c>
      <c r="N367" s="233">
        <f>D367*J367</f>
        <v>695.88000000000011</v>
      </c>
      <c r="O367" s="284">
        <f>N367+I367</f>
        <v>875.21325912000009</v>
      </c>
      <c r="P367" s="182">
        <f>O367/F367</f>
        <v>97.245917680000005</v>
      </c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  <c r="AP367" s="30"/>
      <c r="AQ367" s="30"/>
      <c r="AR367" s="30"/>
      <c r="AS367" s="30"/>
      <c r="AT367" s="30"/>
      <c r="AU367" s="30"/>
      <c r="AV367" s="30"/>
      <c r="AW367" s="30"/>
      <c r="AX367" s="30"/>
      <c r="AY367" s="30"/>
      <c r="AZ367" s="30"/>
      <c r="BA367" s="30"/>
      <c r="BB367" s="30"/>
      <c r="BC367" s="30"/>
      <c r="BD367" s="30"/>
      <c r="BE367" s="30"/>
      <c r="BF367" s="30"/>
      <c r="BG367" s="30"/>
      <c r="BH367" s="30"/>
      <c r="BI367" s="30"/>
      <c r="BJ367" s="30"/>
      <c r="BK367" s="30"/>
      <c r="BL367" s="30"/>
      <c r="BM367" s="30"/>
      <c r="BN367" s="30"/>
      <c r="BO367" s="30"/>
      <c r="BP367" s="30"/>
      <c r="BQ367" s="30"/>
      <c r="BR367" s="30"/>
      <c r="BS367" s="30"/>
      <c r="BT367" s="30"/>
      <c r="BU367" s="30"/>
      <c r="BV367" s="30"/>
      <c r="BW367" s="30"/>
      <c r="BX367" s="30"/>
    </row>
    <row r="368" spans="1:76" s="31" customFormat="1" ht="16.8">
      <c r="A368" s="265">
        <f>IF(H368&lt;&gt;"",1+MAX($A$8:A367),"")</f>
        <v>227</v>
      </c>
      <c r="B368" s="395"/>
      <c r="C368" s="236" t="s">
        <v>234</v>
      </c>
      <c r="D368" s="234">
        <v>3</v>
      </c>
      <c r="E368" s="235">
        <v>0</v>
      </c>
      <c r="F368" s="234">
        <f t="shared" si="258"/>
        <v>3</v>
      </c>
      <c r="G368" s="180" t="s">
        <v>52</v>
      </c>
      <c r="H368" s="288">
        <v>17.642536320000001</v>
      </c>
      <c r="I368" s="181">
        <f t="shared" si="259"/>
        <v>52.927608960000001</v>
      </c>
      <c r="J368" s="289">
        <v>68.460000000000008</v>
      </c>
      <c r="K368" s="231">
        <f t="shared" si="260"/>
        <v>2.7384000000000004</v>
      </c>
      <c r="L368" s="231">
        <f>D368/K368</f>
        <v>1.095530236634531</v>
      </c>
      <c r="M368" s="232">
        <f t="shared" si="261"/>
        <v>75</v>
      </c>
      <c r="N368" s="233">
        <f>D368*J368</f>
        <v>205.38000000000002</v>
      </c>
      <c r="O368" s="284">
        <f>N368+I368</f>
        <v>258.30760896000004</v>
      </c>
      <c r="P368" s="182">
        <f>O368/F368</f>
        <v>86.102536320000013</v>
      </c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  <c r="AG368" s="30"/>
      <c r="AH368" s="30"/>
      <c r="AI368" s="30"/>
      <c r="AJ368" s="30"/>
      <c r="AK368" s="30"/>
      <c r="AL368" s="30"/>
      <c r="AM368" s="30"/>
      <c r="AN368" s="30"/>
      <c r="AO368" s="30"/>
      <c r="AP368" s="30"/>
      <c r="AQ368" s="30"/>
      <c r="AR368" s="30"/>
      <c r="AS368" s="30"/>
      <c r="AT368" s="30"/>
      <c r="AU368" s="30"/>
      <c r="AV368" s="30"/>
      <c r="AW368" s="30"/>
      <c r="AX368" s="30"/>
      <c r="AY368" s="30"/>
      <c r="AZ368" s="30"/>
      <c r="BA368" s="30"/>
      <c r="BB368" s="30"/>
      <c r="BC368" s="30"/>
      <c r="BD368" s="30"/>
      <c r="BE368" s="30"/>
      <c r="BF368" s="30"/>
      <c r="BG368" s="30"/>
      <c r="BH368" s="30"/>
      <c r="BI368" s="30"/>
      <c r="BJ368" s="30"/>
      <c r="BK368" s="30"/>
      <c r="BL368" s="30"/>
      <c r="BM368" s="30"/>
      <c r="BN368" s="30"/>
      <c r="BO368" s="30"/>
      <c r="BP368" s="30"/>
      <c r="BQ368" s="30"/>
      <c r="BR368" s="30"/>
      <c r="BS368" s="30"/>
      <c r="BT368" s="30"/>
      <c r="BU368" s="30"/>
      <c r="BV368" s="30"/>
      <c r="BW368" s="30"/>
      <c r="BX368" s="30"/>
    </row>
    <row r="369" spans="1:76" s="31" customFormat="1" ht="16.8">
      <c r="A369" s="265" t="str">
        <f>IF(H369&lt;&gt;"",1+MAX($A$8:A368),"")</f>
        <v/>
      </c>
      <c r="B369" s="362" t="s">
        <v>235</v>
      </c>
      <c r="C369" s="68" t="s">
        <v>236</v>
      </c>
      <c r="D369" s="234"/>
      <c r="E369" s="235"/>
      <c r="F369" s="234"/>
      <c r="G369" s="180"/>
      <c r="H369" s="283"/>
      <c r="I369" s="181"/>
      <c r="J369" s="283"/>
      <c r="K369" s="181"/>
      <c r="L369" s="231"/>
      <c r="M369" s="232"/>
      <c r="N369" s="233"/>
      <c r="O369" s="284"/>
      <c r="P369" s="182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  <c r="AG369" s="30"/>
      <c r="AH369" s="30"/>
      <c r="AI369" s="30"/>
      <c r="AJ369" s="30"/>
      <c r="AK369" s="30"/>
      <c r="AL369" s="30"/>
      <c r="AM369" s="30"/>
      <c r="AN369" s="30"/>
      <c r="AO369" s="30"/>
      <c r="AP369" s="30"/>
      <c r="AQ369" s="30"/>
      <c r="AR369" s="30"/>
      <c r="AS369" s="30"/>
      <c r="AT369" s="30"/>
      <c r="AU369" s="30"/>
      <c r="AV369" s="30"/>
      <c r="AW369" s="30"/>
      <c r="AX369" s="30"/>
      <c r="AY369" s="30"/>
      <c r="AZ369" s="30"/>
      <c r="BA369" s="30"/>
      <c r="BB369" s="30"/>
      <c r="BC369" s="30"/>
      <c r="BD369" s="30"/>
      <c r="BE369" s="30"/>
      <c r="BF369" s="30"/>
      <c r="BG369" s="30"/>
      <c r="BH369" s="30"/>
      <c r="BI369" s="30"/>
      <c r="BJ369" s="30"/>
      <c r="BK369" s="30"/>
      <c r="BL369" s="30"/>
      <c r="BM369" s="30"/>
      <c r="BN369" s="30"/>
      <c r="BO369" s="30"/>
      <c r="BP369" s="30"/>
      <c r="BQ369" s="30"/>
      <c r="BR369" s="30"/>
      <c r="BS369" s="30"/>
      <c r="BT369" s="30"/>
      <c r="BU369" s="30"/>
      <c r="BV369" s="30"/>
      <c r="BW369" s="30"/>
      <c r="BX369" s="30"/>
    </row>
    <row r="370" spans="1:76" s="31" customFormat="1" ht="16.8">
      <c r="A370" s="265">
        <f>IF(H370&lt;&gt;"",1+MAX($A$8:A369),"")</f>
        <v>228</v>
      </c>
      <c r="B370" s="362"/>
      <c r="C370" s="236" t="s">
        <v>237</v>
      </c>
      <c r="D370" s="234">
        <v>15</v>
      </c>
      <c r="E370" s="235">
        <v>0</v>
      </c>
      <c r="F370" s="234">
        <f t="shared" ref="F370:F372" si="262">(1+E370)*D370</f>
        <v>15</v>
      </c>
      <c r="G370" s="180" t="s">
        <v>52</v>
      </c>
      <c r="H370" s="288">
        <v>21.142420000000001</v>
      </c>
      <c r="I370" s="181">
        <f t="shared" ref="I370:I372" si="263">H370*F370</f>
        <v>317.13630000000001</v>
      </c>
      <c r="J370" s="289">
        <v>82.04</v>
      </c>
      <c r="K370" s="231">
        <f t="shared" ref="K370:K372" si="264">N370/M370</f>
        <v>16.408000000000001</v>
      </c>
      <c r="L370" s="231">
        <f>D370/K370</f>
        <v>0.91418820087762065</v>
      </c>
      <c r="M370" s="232">
        <f t="shared" si="261"/>
        <v>75</v>
      </c>
      <c r="N370" s="233">
        <f>D370*J370</f>
        <v>1230.6000000000001</v>
      </c>
      <c r="O370" s="284">
        <f>N370+I370</f>
        <v>1547.7363</v>
      </c>
      <c r="P370" s="182">
        <f>O370/F370</f>
        <v>103.18242000000001</v>
      </c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  <c r="AG370" s="30"/>
      <c r="AH370" s="30"/>
      <c r="AI370" s="30"/>
      <c r="AJ370" s="30"/>
      <c r="AK370" s="30"/>
      <c r="AL370" s="30"/>
      <c r="AM370" s="30"/>
      <c r="AN370" s="30"/>
      <c r="AO370" s="30"/>
      <c r="AP370" s="30"/>
      <c r="AQ370" s="30"/>
      <c r="AR370" s="30"/>
      <c r="AS370" s="30"/>
      <c r="AT370" s="30"/>
      <c r="AU370" s="30"/>
      <c r="AV370" s="30"/>
      <c r="AW370" s="30"/>
      <c r="AX370" s="30"/>
      <c r="AY370" s="30"/>
      <c r="AZ370" s="30"/>
      <c r="BA370" s="30"/>
      <c r="BB370" s="30"/>
      <c r="BC370" s="30"/>
      <c r="BD370" s="30"/>
      <c r="BE370" s="30"/>
      <c r="BF370" s="30"/>
      <c r="BG370" s="30"/>
      <c r="BH370" s="30"/>
      <c r="BI370" s="30"/>
      <c r="BJ370" s="30"/>
      <c r="BK370" s="30"/>
      <c r="BL370" s="30"/>
      <c r="BM370" s="30"/>
      <c r="BN370" s="30"/>
      <c r="BO370" s="30"/>
      <c r="BP370" s="30"/>
      <c r="BQ370" s="30"/>
      <c r="BR370" s="30"/>
      <c r="BS370" s="30"/>
      <c r="BT370" s="30"/>
      <c r="BU370" s="30"/>
      <c r="BV370" s="30"/>
      <c r="BW370" s="30"/>
      <c r="BX370" s="30"/>
    </row>
    <row r="371" spans="1:76" s="31" customFormat="1" ht="16.8">
      <c r="A371" s="265">
        <f>IF(H371&lt;&gt;"",1+MAX($A$8:A370),"")</f>
        <v>229</v>
      </c>
      <c r="B371" s="362"/>
      <c r="C371" s="236" t="s">
        <v>238</v>
      </c>
      <c r="D371" s="234">
        <v>3</v>
      </c>
      <c r="E371" s="235">
        <v>0</v>
      </c>
      <c r="F371" s="234">
        <f t="shared" si="262"/>
        <v>3</v>
      </c>
      <c r="G371" s="180" t="s">
        <v>52</v>
      </c>
      <c r="H371" s="288">
        <v>23.633972879999998</v>
      </c>
      <c r="I371" s="181">
        <f t="shared" si="263"/>
        <v>70.901918639999991</v>
      </c>
      <c r="J371" s="289">
        <v>91.7</v>
      </c>
      <c r="K371" s="231">
        <f t="shared" si="264"/>
        <v>3.6680000000000001</v>
      </c>
      <c r="L371" s="231">
        <f>D371/K371</f>
        <v>0.81788440567066523</v>
      </c>
      <c r="M371" s="232">
        <f t="shared" si="261"/>
        <v>75</v>
      </c>
      <c r="N371" s="233">
        <f>D371*J371</f>
        <v>275.10000000000002</v>
      </c>
      <c r="O371" s="284">
        <f>N371+I371</f>
        <v>346.00191863999999</v>
      </c>
      <c r="P371" s="182">
        <f>O371/F371</f>
        <v>115.33397287999999</v>
      </c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  <c r="AG371" s="30"/>
      <c r="AH371" s="30"/>
      <c r="AI371" s="30"/>
      <c r="AJ371" s="30"/>
      <c r="AK371" s="30"/>
      <c r="AL371" s="30"/>
      <c r="AM371" s="30"/>
      <c r="AN371" s="30"/>
      <c r="AO371" s="30"/>
      <c r="AP371" s="30"/>
      <c r="AQ371" s="30"/>
      <c r="AR371" s="30"/>
      <c r="AS371" s="30"/>
      <c r="AT371" s="30"/>
      <c r="AU371" s="30"/>
      <c r="AV371" s="30"/>
      <c r="AW371" s="30"/>
      <c r="AX371" s="30"/>
      <c r="AY371" s="30"/>
      <c r="AZ371" s="30"/>
      <c r="BA371" s="30"/>
      <c r="BB371" s="30"/>
      <c r="BC371" s="30"/>
      <c r="BD371" s="30"/>
      <c r="BE371" s="30"/>
      <c r="BF371" s="30"/>
      <c r="BG371" s="30"/>
      <c r="BH371" s="30"/>
      <c r="BI371" s="30"/>
      <c r="BJ371" s="30"/>
      <c r="BK371" s="30"/>
      <c r="BL371" s="30"/>
      <c r="BM371" s="30"/>
      <c r="BN371" s="30"/>
      <c r="BO371" s="30"/>
      <c r="BP371" s="30"/>
      <c r="BQ371" s="30"/>
      <c r="BR371" s="30"/>
      <c r="BS371" s="30"/>
      <c r="BT371" s="30"/>
      <c r="BU371" s="30"/>
      <c r="BV371" s="30"/>
      <c r="BW371" s="30"/>
      <c r="BX371" s="30"/>
    </row>
    <row r="372" spans="1:76" s="31" customFormat="1" ht="16.8">
      <c r="A372" s="265">
        <f>IF(H372&lt;&gt;"",1+MAX($A$8:A371),"")</f>
        <v>230</v>
      </c>
      <c r="B372" s="362"/>
      <c r="C372" s="236" t="s">
        <v>239</v>
      </c>
      <c r="D372" s="234">
        <v>20</v>
      </c>
      <c r="E372" s="235">
        <v>0</v>
      </c>
      <c r="F372" s="234">
        <f t="shared" si="262"/>
        <v>20</v>
      </c>
      <c r="G372" s="180" t="s">
        <v>52</v>
      </c>
      <c r="H372" s="288">
        <v>12.034916000000001</v>
      </c>
      <c r="I372" s="181">
        <f t="shared" si="263"/>
        <v>240.69832000000002</v>
      </c>
      <c r="J372" s="289">
        <v>46.699999999999996</v>
      </c>
      <c r="K372" s="231">
        <f t="shared" si="264"/>
        <v>12.453333333333331</v>
      </c>
      <c r="L372" s="231">
        <f>D372/K372</f>
        <v>1.6059957173447541</v>
      </c>
      <c r="M372" s="232">
        <f t="shared" si="261"/>
        <v>75</v>
      </c>
      <c r="N372" s="233">
        <f>D372*J372</f>
        <v>933.99999999999989</v>
      </c>
      <c r="O372" s="284">
        <f>N372+I372</f>
        <v>1174.69832</v>
      </c>
      <c r="P372" s="182">
        <f>O372/F372</f>
        <v>58.734915999999998</v>
      </c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  <c r="AG372" s="30"/>
      <c r="AH372" s="30"/>
      <c r="AI372" s="30"/>
      <c r="AJ372" s="30"/>
      <c r="AK372" s="30"/>
      <c r="AL372" s="30"/>
      <c r="AM372" s="30"/>
      <c r="AN372" s="30"/>
      <c r="AO372" s="30"/>
      <c r="AP372" s="30"/>
      <c r="AQ372" s="30"/>
      <c r="AR372" s="30"/>
      <c r="AS372" s="30"/>
      <c r="AT372" s="30"/>
      <c r="AU372" s="30"/>
      <c r="AV372" s="30"/>
      <c r="AW372" s="30"/>
      <c r="AX372" s="30"/>
      <c r="AY372" s="30"/>
      <c r="AZ372" s="30"/>
      <c r="BA372" s="30"/>
      <c r="BB372" s="30"/>
      <c r="BC372" s="30"/>
      <c r="BD372" s="30"/>
      <c r="BE372" s="30"/>
      <c r="BF372" s="30"/>
      <c r="BG372" s="30"/>
      <c r="BH372" s="30"/>
      <c r="BI372" s="30"/>
      <c r="BJ372" s="30"/>
      <c r="BK372" s="30"/>
      <c r="BL372" s="30"/>
      <c r="BM372" s="30"/>
      <c r="BN372" s="30"/>
      <c r="BO372" s="30"/>
      <c r="BP372" s="30"/>
      <c r="BQ372" s="30"/>
      <c r="BR372" s="30"/>
      <c r="BS372" s="30"/>
      <c r="BT372" s="30"/>
      <c r="BU372" s="30"/>
      <c r="BV372" s="30"/>
      <c r="BW372" s="30"/>
      <c r="BX372" s="30"/>
    </row>
    <row r="373" spans="1:76" s="31" customFormat="1" ht="16.8">
      <c r="A373" s="265" t="str">
        <f>IF(H373&lt;&gt;"",1+MAX($A$8:A372),"")</f>
        <v/>
      </c>
      <c r="B373" s="362"/>
      <c r="C373" s="68" t="s">
        <v>91</v>
      </c>
      <c r="D373" s="234"/>
      <c r="E373" s="235"/>
      <c r="F373" s="234"/>
      <c r="G373" s="180"/>
      <c r="H373" s="283"/>
      <c r="I373" s="181"/>
      <c r="J373" s="283"/>
      <c r="K373" s="181"/>
      <c r="L373" s="231"/>
      <c r="M373" s="232"/>
      <c r="N373" s="233"/>
      <c r="O373" s="284"/>
      <c r="P373" s="182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  <c r="AG373" s="30"/>
      <c r="AH373" s="30"/>
      <c r="AI373" s="30"/>
      <c r="AJ373" s="30"/>
      <c r="AK373" s="30"/>
      <c r="AL373" s="30"/>
      <c r="AM373" s="30"/>
      <c r="AN373" s="30"/>
      <c r="AO373" s="30"/>
      <c r="AP373" s="30"/>
      <c r="AQ373" s="30"/>
      <c r="AR373" s="30"/>
      <c r="AS373" s="30"/>
      <c r="AT373" s="30"/>
      <c r="AU373" s="30"/>
      <c r="AV373" s="30"/>
      <c r="AW373" s="30"/>
      <c r="AX373" s="30"/>
      <c r="AY373" s="30"/>
      <c r="AZ373" s="30"/>
      <c r="BA373" s="30"/>
      <c r="BB373" s="30"/>
      <c r="BC373" s="30"/>
      <c r="BD373" s="30"/>
      <c r="BE373" s="30"/>
      <c r="BF373" s="30"/>
      <c r="BG373" s="30"/>
      <c r="BH373" s="30"/>
      <c r="BI373" s="30"/>
      <c r="BJ373" s="30"/>
      <c r="BK373" s="30"/>
      <c r="BL373" s="30"/>
      <c r="BM373" s="30"/>
      <c r="BN373" s="30"/>
      <c r="BO373" s="30"/>
      <c r="BP373" s="30"/>
      <c r="BQ373" s="30"/>
      <c r="BR373" s="30"/>
      <c r="BS373" s="30"/>
      <c r="BT373" s="30"/>
      <c r="BU373" s="30"/>
      <c r="BV373" s="30"/>
      <c r="BW373" s="30"/>
      <c r="BX373" s="30"/>
    </row>
    <row r="374" spans="1:76" s="31" customFormat="1" ht="16.8">
      <c r="A374" s="265">
        <f>IF(H374&lt;&gt;"",1+MAX($A$8:A373),"")</f>
        <v>231</v>
      </c>
      <c r="B374" s="362"/>
      <c r="C374" s="236" t="s">
        <v>240</v>
      </c>
      <c r="D374" s="234">
        <v>55</v>
      </c>
      <c r="E374" s="235">
        <v>0</v>
      </c>
      <c r="F374" s="234">
        <f t="shared" ref="F374:F377" si="265">(1+E374)*D374</f>
        <v>55</v>
      </c>
      <c r="G374" s="180" t="s">
        <v>52</v>
      </c>
      <c r="H374" s="288">
        <v>57.3772752</v>
      </c>
      <c r="I374" s="181">
        <f t="shared" ref="I374:I377" si="266">H374*F374</f>
        <v>3155.7501360000001</v>
      </c>
      <c r="J374" s="289">
        <v>81.63000000000001</v>
      </c>
      <c r="K374" s="231">
        <f t="shared" ref="K374:K377" si="267">N374/M374</f>
        <v>59.862000000000009</v>
      </c>
      <c r="L374" s="231">
        <f>D374/K374</f>
        <v>0.91877986034546111</v>
      </c>
      <c r="M374" s="232">
        <f t="shared" si="261"/>
        <v>75</v>
      </c>
      <c r="N374" s="233">
        <f>D374*J374</f>
        <v>4489.6500000000005</v>
      </c>
      <c r="O374" s="284">
        <f>N374+I374</f>
        <v>7645.4001360000002</v>
      </c>
      <c r="P374" s="182">
        <f>O374/F374</f>
        <v>139.00727520000001</v>
      </c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30"/>
      <c r="AI374" s="30"/>
      <c r="AJ374" s="30"/>
      <c r="AK374" s="30"/>
      <c r="AL374" s="30"/>
      <c r="AM374" s="30"/>
      <c r="AN374" s="30"/>
      <c r="AO374" s="30"/>
      <c r="AP374" s="30"/>
      <c r="AQ374" s="30"/>
      <c r="AR374" s="30"/>
      <c r="AS374" s="30"/>
      <c r="AT374" s="30"/>
      <c r="AU374" s="30"/>
      <c r="AV374" s="30"/>
      <c r="AW374" s="30"/>
      <c r="AX374" s="30"/>
      <c r="AY374" s="30"/>
      <c r="AZ374" s="30"/>
      <c r="BA374" s="30"/>
      <c r="BB374" s="30"/>
      <c r="BC374" s="30"/>
      <c r="BD374" s="30"/>
      <c r="BE374" s="30"/>
      <c r="BF374" s="30"/>
      <c r="BG374" s="30"/>
      <c r="BH374" s="30"/>
      <c r="BI374" s="30"/>
      <c r="BJ374" s="30"/>
      <c r="BK374" s="30"/>
      <c r="BL374" s="30"/>
      <c r="BM374" s="30"/>
      <c r="BN374" s="30"/>
      <c r="BO374" s="30"/>
      <c r="BP374" s="30"/>
      <c r="BQ374" s="30"/>
      <c r="BR374" s="30"/>
      <c r="BS374" s="30"/>
      <c r="BT374" s="30"/>
      <c r="BU374" s="30"/>
      <c r="BV374" s="30"/>
      <c r="BW374" s="30"/>
      <c r="BX374" s="30"/>
    </row>
    <row r="375" spans="1:76" s="31" customFormat="1" ht="16.8">
      <c r="A375" s="265">
        <f>IF(H375&lt;&gt;"",1+MAX($A$8:A374),"")</f>
        <v>232</v>
      </c>
      <c r="B375" s="362"/>
      <c r="C375" s="236" t="s">
        <v>241</v>
      </c>
      <c r="D375" s="234">
        <v>3</v>
      </c>
      <c r="E375" s="235">
        <v>0</v>
      </c>
      <c r="F375" s="234">
        <f t="shared" si="265"/>
        <v>3</v>
      </c>
      <c r="G375" s="180" t="s">
        <v>52</v>
      </c>
      <c r="H375" s="288">
        <v>40.977262639999999</v>
      </c>
      <c r="I375" s="181">
        <f t="shared" si="266"/>
        <v>122.93178792</v>
      </c>
      <c r="J375" s="289">
        <v>58.3</v>
      </c>
      <c r="K375" s="231">
        <f t="shared" si="267"/>
        <v>2.3319999999999999</v>
      </c>
      <c r="L375" s="231">
        <f>D375/K375</f>
        <v>1.2864493996569468</v>
      </c>
      <c r="M375" s="232">
        <f t="shared" si="261"/>
        <v>75</v>
      </c>
      <c r="N375" s="233">
        <f>D375*J375</f>
        <v>174.89999999999998</v>
      </c>
      <c r="O375" s="284">
        <f>N375+I375</f>
        <v>297.83178792000001</v>
      </c>
      <c r="P375" s="182">
        <f>O375/F375</f>
        <v>99.277262640000004</v>
      </c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  <c r="AG375" s="30"/>
      <c r="AH375" s="30"/>
      <c r="AI375" s="30"/>
      <c r="AJ375" s="30"/>
      <c r="AK375" s="30"/>
      <c r="AL375" s="30"/>
      <c r="AM375" s="30"/>
      <c r="AN375" s="30"/>
      <c r="AO375" s="30"/>
      <c r="AP375" s="30"/>
      <c r="AQ375" s="30"/>
      <c r="AR375" s="30"/>
      <c r="AS375" s="30"/>
      <c r="AT375" s="30"/>
      <c r="AU375" s="30"/>
      <c r="AV375" s="30"/>
      <c r="AW375" s="30"/>
      <c r="AX375" s="30"/>
      <c r="AY375" s="30"/>
      <c r="AZ375" s="30"/>
      <c r="BA375" s="30"/>
      <c r="BB375" s="30"/>
      <c r="BC375" s="30"/>
      <c r="BD375" s="30"/>
      <c r="BE375" s="30"/>
      <c r="BF375" s="30"/>
      <c r="BG375" s="30"/>
      <c r="BH375" s="30"/>
      <c r="BI375" s="30"/>
      <c r="BJ375" s="30"/>
      <c r="BK375" s="30"/>
      <c r="BL375" s="30"/>
      <c r="BM375" s="30"/>
      <c r="BN375" s="30"/>
      <c r="BO375" s="30"/>
      <c r="BP375" s="30"/>
      <c r="BQ375" s="30"/>
      <c r="BR375" s="30"/>
      <c r="BS375" s="30"/>
      <c r="BT375" s="30"/>
      <c r="BU375" s="30"/>
      <c r="BV375" s="30"/>
      <c r="BW375" s="30"/>
      <c r="BX375" s="30"/>
    </row>
    <row r="376" spans="1:76" s="31" customFormat="1" ht="16.8">
      <c r="A376" s="265">
        <f>IF(H376&lt;&gt;"",1+MAX($A$8:A375),"")</f>
        <v>233</v>
      </c>
      <c r="B376" s="362"/>
      <c r="C376" s="236" t="s">
        <v>242</v>
      </c>
      <c r="D376" s="234">
        <v>5</v>
      </c>
      <c r="E376" s="235">
        <v>0</v>
      </c>
      <c r="F376" s="234">
        <f t="shared" si="265"/>
        <v>5</v>
      </c>
      <c r="G376" s="180" t="s">
        <v>52</v>
      </c>
      <c r="H376" s="288">
        <v>61.215437599999994</v>
      </c>
      <c r="I376" s="181">
        <f t="shared" si="266"/>
        <v>306.07718799999998</v>
      </c>
      <c r="J376" s="289">
        <v>87.09</v>
      </c>
      <c r="K376" s="231">
        <f t="shared" si="267"/>
        <v>5.8060000000000009</v>
      </c>
      <c r="L376" s="231">
        <f>D376/K376</f>
        <v>0.86117809162934877</v>
      </c>
      <c r="M376" s="232">
        <f t="shared" si="261"/>
        <v>75</v>
      </c>
      <c r="N376" s="233">
        <f>D376*J376</f>
        <v>435.45000000000005</v>
      </c>
      <c r="O376" s="284">
        <f>N376+I376</f>
        <v>741.52718800000002</v>
      </c>
      <c r="P376" s="182">
        <f>O376/F376</f>
        <v>148.3054376</v>
      </c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  <c r="AH376" s="30"/>
      <c r="AI376" s="30"/>
      <c r="AJ376" s="30"/>
      <c r="AK376" s="30"/>
      <c r="AL376" s="30"/>
      <c r="AM376" s="30"/>
      <c r="AN376" s="30"/>
      <c r="AO376" s="30"/>
      <c r="AP376" s="30"/>
      <c r="AQ376" s="30"/>
      <c r="AR376" s="30"/>
      <c r="AS376" s="30"/>
      <c r="AT376" s="30"/>
      <c r="AU376" s="30"/>
      <c r="AV376" s="30"/>
      <c r="AW376" s="30"/>
      <c r="AX376" s="30"/>
      <c r="AY376" s="30"/>
      <c r="AZ376" s="30"/>
      <c r="BA376" s="30"/>
      <c r="BB376" s="30"/>
      <c r="BC376" s="30"/>
      <c r="BD376" s="30"/>
      <c r="BE376" s="30"/>
      <c r="BF376" s="30"/>
      <c r="BG376" s="30"/>
      <c r="BH376" s="30"/>
      <c r="BI376" s="30"/>
      <c r="BJ376" s="30"/>
      <c r="BK376" s="30"/>
      <c r="BL376" s="30"/>
      <c r="BM376" s="30"/>
      <c r="BN376" s="30"/>
      <c r="BO376" s="30"/>
      <c r="BP376" s="30"/>
      <c r="BQ376" s="30"/>
      <c r="BR376" s="30"/>
      <c r="BS376" s="30"/>
      <c r="BT376" s="30"/>
      <c r="BU376" s="30"/>
      <c r="BV376" s="30"/>
      <c r="BW376" s="30"/>
      <c r="BX376" s="30"/>
    </row>
    <row r="377" spans="1:76" s="31" customFormat="1" ht="16.8">
      <c r="A377" s="265">
        <f>IF(H377&lt;&gt;"",1+MAX($A$8:A376),"")</f>
        <v>234</v>
      </c>
      <c r="B377" s="395"/>
      <c r="C377" s="236" t="s">
        <v>243</v>
      </c>
      <c r="D377" s="234">
        <v>2</v>
      </c>
      <c r="E377" s="235">
        <v>0</v>
      </c>
      <c r="F377" s="234">
        <f t="shared" si="265"/>
        <v>2</v>
      </c>
      <c r="G377" s="180" t="s">
        <v>52</v>
      </c>
      <c r="H377" s="288">
        <v>87.757306400000004</v>
      </c>
      <c r="I377" s="181">
        <f t="shared" si="266"/>
        <v>175.51461280000001</v>
      </c>
      <c r="J377" s="289">
        <v>124.85000000000001</v>
      </c>
      <c r="K377" s="231">
        <f t="shared" si="267"/>
        <v>3.3293333333333335</v>
      </c>
      <c r="L377" s="231">
        <f>D377/K377</f>
        <v>0.60072086503804567</v>
      </c>
      <c r="M377" s="232">
        <f t="shared" si="261"/>
        <v>75</v>
      </c>
      <c r="N377" s="233">
        <f>D377*J377</f>
        <v>249.70000000000002</v>
      </c>
      <c r="O377" s="284">
        <f>N377+I377</f>
        <v>425.21461280000005</v>
      </c>
      <c r="P377" s="182">
        <f>O377/F377</f>
        <v>212.60730640000003</v>
      </c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30"/>
      <c r="AI377" s="30"/>
      <c r="AJ377" s="30"/>
      <c r="AK377" s="30"/>
      <c r="AL377" s="30"/>
      <c r="AM377" s="30"/>
      <c r="AN377" s="30"/>
      <c r="AO377" s="30"/>
      <c r="AP377" s="30"/>
      <c r="AQ377" s="30"/>
      <c r="AR377" s="30"/>
      <c r="AS377" s="30"/>
      <c r="AT377" s="30"/>
      <c r="AU377" s="30"/>
      <c r="AV377" s="30"/>
      <c r="AW377" s="30"/>
      <c r="AX377" s="30"/>
      <c r="AY377" s="30"/>
      <c r="AZ377" s="30"/>
      <c r="BA377" s="30"/>
      <c r="BB377" s="30"/>
      <c r="BC377" s="30"/>
      <c r="BD377" s="30"/>
      <c r="BE377" s="30"/>
      <c r="BF377" s="30"/>
      <c r="BG377" s="30"/>
      <c r="BH377" s="30"/>
      <c r="BI377" s="30"/>
      <c r="BJ377" s="30"/>
      <c r="BK377" s="30"/>
      <c r="BL377" s="30"/>
      <c r="BM377" s="30"/>
      <c r="BN377" s="30"/>
      <c r="BO377" s="30"/>
      <c r="BP377" s="30"/>
      <c r="BQ377" s="30"/>
      <c r="BR377" s="30"/>
      <c r="BS377" s="30"/>
      <c r="BT377" s="30"/>
      <c r="BU377" s="30"/>
      <c r="BV377" s="30"/>
      <c r="BW377" s="30"/>
      <c r="BX377" s="30"/>
    </row>
    <row r="378" spans="1:76" s="31" customFormat="1" ht="16.8">
      <c r="A378" s="265" t="str">
        <f>IF(H378&lt;&gt;"",1+MAX($A$8:A377),"")</f>
        <v/>
      </c>
      <c r="B378" s="362" t="s">
        <v>200</v>
      </c>
      <c r="C378" s="68" t="s">
        <v>113</v>
      </c>
      <c r="D378" s="234"/>
      <c r="E378" s="235"/>
      <c r="F378" s="234"/>
      <c r="G378" s="180"/>
      <c r="H378" s="283"/>
      <c r="I378" s="181"/>
      <c r="J378" s="283"/>
      <c r="K378" s="181"/>
      <c r="L378" s="231"/>
      <c r="M378" s="232"/>
      <c r="N378" s="233"/>
      <c r="O378" s="284"/>
      <c r="P378" s="182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  <c r="AM378" s="30"/>
      <c r="AN378" s="30"/>
      <c r="AO378" s="30"/>
      <c r="AP378" s="30"/>
      <c r="AQ378" s="30"/>
      <c r="AR378" s="30"/>
      <c r="AS378" s="30"/>
      <c r="AT378" s="30"/>
      <c r="AU378" s="30"/>
      <c r="AV378" s="30"/>
      <c r="AW378" s="30"/>
      <c r="AX378" s="30"/>
      <c r="AY378" s="30"/>
      <c r="AZ378" s="30"/>
      <c r="BA378" s="30"/>
      <c r="BB378" s="30"/>
      <c r="BC378" s="30"/>
      <c r="BD378" s="30"/>
      <c r="BE378" s="30"/>
      <c r="BF378" s="30"/>
      <c r="BG378" s="30"/>
      <c r="BH378" s="30"/>
      <c r="BI378" s="30"/>
      <c r="BJ378" s="30"/>
      <c r="BK378" s="30"/>
      <c r="BL378" s="30"/>
      <c r="BM378" s="30"/>
      <c r="BN378" s="30"/>
      <c r="BO378" s="30"/>
      <c r="BP378" s="30"/>
      <c r="BQ378" s="30"/>
      <c r="BR378" s="30"/>
      <c r="BS378" s="30"/>
      <c r="BT378" s="30"/>
      <c r="BU378" s="30"/>
      <c r="BV378" s="30"/>
      <c r="BW378" s="30"/>
      <c r="BX378" s="30"/>
    </row>
    <row r="379" spans="1:76" s="31" customFormat="1" ht="16.8">
      <c r="A379" s="265">
        <f>IF(H379&lt;&gt;"",1+MAX($A$8:A378),"")</f>
        <v>235</v>
      </c>
      <c r="B379" s="362"/>
      <c r="C379" s="236" t="s">
        <v>244</v>
      </c>
      <c r="D379" s="234">
        <v>6</v>
      </c>
      <c r="E379" s="235">
        <v>0</v>
      </c>
      <c r="F379" s="234">
        <f t="shared" ref="F379" si="268">(1+E379)*D379</f>
        <v>6</v>
      </c>
      <c r="G379" s="180" t="s">
        <v>52</v>
      </c>
      <c r="H379" s="288">
        <v>55.373624320000005</v>
      </c>
      <c r="I379" s="181">
        <f>H379*F379</f>
        <v>332.24174592000003</v>
      </c>
      <c r="J379" s="289">
        <v>111.06</v>
      </c>
      <c r="K379" s="231">
        <f t="shared" ref="K379" si="269">N379/M379</f>
        <v>8.8848000000000003</v>
      </c>
      <c r="L379" s="231">
        <f>D379/K379</f>
        <v>0.67531064289573206</v>
      </c>
      <c r="M379" s="232">
        <f t="shared" si="261"/>
        <v>75</v>
      </c>
      <c r="N379" s="233">
        <f>D379*J379</f>
        <v>666.36</v>
      </c>
      <c r="O379" s="284">
        <f>N379+I379</f>
        <v>998.60174591999998</v>
      </c>
      <c r="P379" s="182">
        <f>O379/F379</f>
        <v>166.43362432000001</v>
      </c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  <c r="AM379" s="30"/>
      <c r="AN379" s="30"/>
      <c r="AO379" s="30"/>
      <c r="AP379" s="30"/>
      <c r="AQ379" s="30"/>
      <c r="AR379" s="30"/>
      <c r="AS379" s="30"/>
      <c r="AT379" s="30"/>
      <c r="AU379" s="30"/>
      <c r="AV379" s="30"/>
      <c r="AW379" s="30"/>
      <c r="AX379" s="30"/>
      <c r="AY379" s="30"/>
      <c r="AZ379" s="30"/>
      <c r="BA379" s="30"/>
      <c r="BB379" s="30"/>
      <c r="BC379" s="30"/>
      <c r="BD379" s="30"/>
      <c r="BE379" s="30"/>
      <c r="BF379" s="30"/>
      <c r="BG379" s="30"/>
      <c r="BH379" s="30"/>
      <c r="BI379" s="30"/>
      <c r="BJ379" s="30"/>
      <c r="BK379" s="30"/>
      <c r="BL379" s="30"/>
      <c r="BM379" s="30"/>
      <c r="BN379" s="30"/>
      <c r="BO379" s="30"/>
      <c r="BP379" s="30"/>
      <c r="BQ379" s="30"/>
      <c r="BR379" s="30"/>
      <c r="BS379" s="30"/>
      <c r="BT379" s="30"/>
      <c r="BU379" s="30"/>
      <c r="BV379" s="30"/>
      <c r="BW379" s="30"/>
      <c r="BX379" s="30"/>
    </row>
    <row r="380" spans="1:76" s="31" customFormat="1" ht="16.8">
      <c r="A380" s="265" t="str">
        <f>IF(H380&lt;&gt;"",1+MAX($A$8:A379),"")</f>
        <v/>
      </c>
      <c r="B380" s="362"/>
      <c r="C380" s="68" t="s">
        <v>112</v>
      </c>
      <c r="D380" s="234"/>
      <c r="E380" s="235"/>
      <c r="F380" s="234"/>
      <c r="G380" s="180"/>
      <c r="H380" s="283"/>
      <c r="I380" s="181"/>
      <c r="J380" s="283"/>
      <c r="K380" s="181"/>
      <c r="L380" s="231"/>
      <c r="M380" s="232"/>
      <c r="N380" s="233"/>
      <c r="O380" s="284"/>
      <c r="P380" s="182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  <c r="AH380" s="30"/>
      <c r="AI380" s="30"/>
      <c r="AJ380" s="30"/>
      <c r="AK380" s="30"/>
      <c r="AL380" s="30"/>
      <c r="AM380" s="30"/>
      <c r="AN380" s="30"/>
      <c r="AO380" s="30"/>
      <c r="AP380" s="30"/>
      <c r="AQ380" s="30"/>
      <c r="AR380" s="30"/>
      <c r="AS380" s="30"/>
      <c r="AT380" s="30"/>
      <c r="AU380" s="30"/>
      <c r="AV380" s="30"/>
      <c r="AW380" s="30"/>
      <c r="AX380" s="30"/>
      <c r="AY380" s="30"/>
      <c r="AZ380" s="30"/>
      <c r="BA380" s="30"/>
      <c r="BB380" s="30"/>
      <c r="BC380" s="30"/>
      <c r="BD380" s="30"/>
      <c r="BE380" s="30"/>
      <c r="BF380" s="30"/>
      <c r="BG380" s="30"/>
      <c r="BH380" s="30"/>
      <c r="BI380" s="30"/>
      <c r="BJ380" s="30"/>
      <c r="BK380" s="30"/>
      <c r="BL380" s="30"/>
      <c r="BM380" s="30"/>
      <c r="BN380" s="30"/>
      <c r="BO380" s="30"/>
      <c r="BP380" s="30"/>
      <c r="BQ380" s="30"/>
      <c r="BR380" s="30"/>
      <c r="BS380" s="30"/>
      <c r="BT380" s="30"/>
      <c r="BU380" s="30"/>
      <c r="BV380" s="30"/>
      <c r="BW380" s="30"/>
      <c r="BX380" s="30"/>
    </row>
    <row r="381" spans="1:76" s="31" customFormat="1" ht="16.8">
      <c r="A381" s="265">
        <f>IF(H381&lt;&gt;"",1+MAX($A$8:A380),"")</f>
        <v>236</v>
      </c>
      <c r="B381" s="362"/>
      <c r="C381" s="236" t="s">
        <v>245</v>
      </c>
      <c r="D381" s="234">
        <v>5</v>
      </c>
      <c r="E381" s="235">
        <v>0</v>
      </c>
      <c r="F381" s="234">
        <f t="shared" ref="F381" si="270">(1+E381)*D381</f>
        <v>5</v>
      </c>
      <c r="G381" s="180" t="s">
        <v>52</v>
      </c>
      <c r="H381" s="288">
        <v>12.034916000000001</v>
      </c>
      <c r="I381" s="181">
        <f>H381*F381</f>
        <v>60.174580000000006</v>
      </c>
      <c r="J381" s="289">
        <v>46.699999999999996</v>
      </c>
      <c r="K381" s="231">
        <f t="shared" ref="K381" si="271">N381/M381</f>
        <v>3.1133333333333328</v>
      </c>
      <c r="L381" s="231">
        <f>D381/K381</f>
        <v>1.6059957173447541</v>
      </c>
      <c r="M381" s="232">
        <f t="shared" si="261"/>
        <v>75</v>
      </c>
      <c r="N381" s="233">
        <f>D381*J381</f>
        <v>233.49999999999997</v>
      </c>
      <c r="O381" s="284">
        <f>N381+I381</f>
        <v>293.67457999999999</v>
      </c>
      <c r="P381" s="182">
        <f>O381/F381</f>
        <v>58.734915999999998</v>
      </c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  <c r="AG381" s="30"/>
      <c r="AH381" s="30"/>
      <c r="AI381" s="30"/>
      <c r="AJ381" s="30"/>
      <c r="AK381" s="30"/>
      <c r="AL381" s="30"/>
      <c r="AM381" s="30"/>
      <c r="AN381" s="30"/>
      <c r="AO381" s="30"/>
      <c r="AP381" s="30"/>
      <c r="AQ381" s="30"/>
      <c r="AR381" s="30"/>
      <c r="AS381" s="30"/>
      <c r="AT381" s="30"/>
      <c r="AU381" s="30"/>
      <c r="AV381" s="30"/>
      <c r="AW381" s="30"/>
      <c r="AX381" s="30"/>
      <c r="AY381" s="30"/>
      <c r="AZ381" s="30"/>
      <c r="BA381" s="30"/>
      <c r="BB381" s="30"/>
      <c r="BC381" s="30"/>
      <c r="BD381" s="30"/>
      <c r="BE381" s="30"/>
      <c r="BF381" s="30"/>
      <c r="BG381" s="30"/>
      <c r="BH381" s="30"/>
      <c r="BI381" s="30"/>
      <c r="BJ381" s="30"/>
      <c r="BK381" s="30"/>
      <c r="BL381" s="30"/>
      <c r="BM381" s="30"/>
      <c r="BN381" s="30"/>
      <c r="BO381" s="30"/>
      <c r="BP381" s="30"/>
      <c r="BQ381" s="30"/>
      <c r="BR381" s="30"/>
      <c r="BS381" s="30"/>
      <c r="BT381" s="30"/>
      <c r="BU381" s="30"/>
      <c r="BV381" s="30"/>
      <c r="BW381" s="30"/>
      <c r="BX381" s="30"/>
    </row>
    <row r="382" spans="1:76" s="31" customFormat="1" ht="16.8">
      <c r="A382" s="265" t="str">
        <f>IF(H382&lt;&gt;"",1+MAX($A$8:A381),"")</f>
        <v/>
      </c>
      <c r="B382" s="292"/>
      <c r="C382" s="68" t="s">
        <v>92</v>
      </c>
      <c r="D382" s="234"/>
      <c r="E382" s="235"/>
      <c r="F382" s="234"/>
      <c r="G382" s="180"/>
      <c r="H382" s="283"/>
      <c r="I382" s="181"/>
      <c r="J382" s="283"/>
      <c r="K382" s="181"/>
      <c r="L382" s="231"/>
      <c r="M382" s="232"/>
      <c r="N382" s="233"/>
      <c r="O382" s="284"/>
      <c r="P382" s="182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  <c r="AG382" s="30"/>
      <c r="AH382" s="30"/>
      <c r="AI382" s="30"/>
      <c r="AJ382" s="30"/>
      <c r="AK382" s="30"/>
      <c r="AL382" s="30"/>
      <c r="AM382" s="30"/>
      <c r="AN382" s="30"/>
      <c r="AO382" s="30"/>
      <c r="AP382" s="30"/>
      <c r="AQ382" s="30"/>
      <c r="AR382" s="30"/>
      <c r="AS382" s="30"/>
      <c r="AT382" s="30"/>
      <c r="AU382" s="30"/>
      <c r="AV382" s="30"/>
      <c r="AW382" s="30"/>
      <c r="AX382" s="30"/>
      <c r="AY382" s="30"/>
      <c r="AZ382" s="30"/>
      <c r="BA382" s="30"/>
      <c r="BB382" s="30"/>
      <c r="BC382" s="30"/>
      <c r="BD382" s="30"/>
      <c r="BE382" s="30"/>
      <c r="BF382" s="30"/>
      <c r="BG382" s="30"/>
      <c r="BH382" s="30"/>
      <c r="BI382" s="30"/>
      <c r="BJ382" s="30"/>
      <c r="BK382" s="30"/>
      <c r="BL382" s="30"/>
      <c r="BM382" s="30"/>
      <c r="BN382" s="30"/>
      <c r="BO382" s="30"/>
      <c r="BP382" s="30"/>
      <c r="BQ382" s="30"/>
      <c r="BR382" s="30"/>
      <c r="BS382" s="30"/>
      <c r="BT382" s="30"/>
      <c r="BU382" s="30"/>
      <c r="BV382" s="30"/>
      <c r="BW382" s="30"/>
      <c r="BX382" s="30"/>
    </row>
    <row r="383" spans="1:76" s="31" customFormat="1" ht="33.6">
      <c r="A383" s="265">
        <f>IF(H383&lt;&gt;"",1+MAX($A$8:A382),"")</f>
        <v>237</v>
      </c>
      <c r="B383" s="293"/>
      <c r="C383" s="236" t="s">
        <v>246</v>
      </c>
      <c r="D383" s="234">
        <v>1</v>
      </c>
      <c r="E383" s="235">
        <v>0</v>
      </c>
      <c r="F383" s="234">
        <f t="shared" ref="F383" si="272">(1+E383)*D383</f>
        <v>1</v>
      </c>
      <c r="G383" s="180" t="s">
        <v>62</v>
      </c>
      <c r="H383" s="288">
        <v>3035.1407616000001</v>
      </c>
      <c r="I383" s="181">
        <f>H383*F383</f>
        <v>3035.1407616000001</v>
      </c>
      <c r="J383" s="289">
        <v>15265.25</v>
      </c>
      <c r="K383" s="231">
        <f t="shared" ref="K383" si="273">N383/M383</f>
        <v>203.53666666666666</v>
      </c>
      <c r="L383" s="231">
        <f>D383/K383</f>
        <v>4.9131196672180279E-3</v>
      </c>
      <c r="M383" s="232">
        <f t="shared" si="261"/>
        <v>75</v>
      </c>
      <c r="N383" s="233">
        <f>D383*J383</f>
        <v>15265.25</v>
      </c>
      <c r="O383" s="284">
        <f>N383+I383</f>
        <v>18300.3907616</v>
      </c>
      <c r="P383" s="182">
        <f>O383/F383</f>
        <v>18300.3907616</v>
      </c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  <c r="AG383" s="30"/>
      <c r="AH383" s="30"/>
      <c r="AI383" s="30"/>
      <c r="AJ383" s="30"/>
      <c r="AK383" s="30"/>
      <c r="AL383" s="30"/>
      <c r="AM383" s="30"/>
      <c r="AN383" s="30"/>
      <c r="AO383" s="30"/>
      <c r="AP383" s="30"/>
      <c r="AQ383" s="30"/>
      <c r="AR383" s="30"/>
      <c r="AS383" s="30"/>
      <c r="AT383" s="30"/>
      <c r="AU383" s="30"/>
      <c r="AV383" s="30"/>
      <c r="AW383" s="30"/>
      <c r="AX383" s="30"/>
      <c r="AY383" s="30"/>
      <c r="AZ383" s="30"/>
      <c r="BA383" s="30"/>
      <c r="BB383" s="30"/>
      <c r="BC383" s="30"/>
      <c r="BD383" s="30"/>
      <c r="BE383" s="30"/>
      <c r="BF383" s="30"/>
      <c r="BG383" s="30"/>
      <c r="BH383" s="30"/>
      <c r="BI383" s="30"/>
      <c r="BJ383" s="30"/>
      <c r="BK383" s="30"/>
      <c r="BL383" s="30"/>
      <c r="BM383" s="30"/>
      <c r="BN383" s="30"/>
      <c r="BO383" s="30"/>
      <c r="BP383" s="30"/>
      <c r="BQ383" s="30"/>
      <c r="BR383" s="30"/>
      <c r="BS383" s="30"/>
      <c r="BT383" s="30"/>
      <c r="BU383" s="30"/>
      <c r="BV383" s="30"/>
      <c r="BW383" s="30"/>
      <c r="BX383" s="30"/>
    </row>
    <row r="384" spans="1:76" s="31" customFormat="1" ht="16.8">
      <c r="A384" s="265" t="str">
        <f>IF(H384&lt;&gt;"",1+MAX($A$8:A383),"")</f>
        <v/>
      </c>
      <c r="B384" s="267"/>
      <c r="C384" s="236"/>
      <c r="D384" s="234"/>
      <c r="E384" s="235"/>
      <c r="F384" s="234"/>
      <c r="G384" s="180"/>
      <c r="H384" s="283"/>
      <c r="I384" s="181"/>
      <c r="J384" s="294"/>
      <c r="K384" s="295"/>
      <c r="L384" s="231"/>
      <c r="M384" s="232"/>
      <c r="N384" s="233"/>
      <c r="O384" s="284"/>
      <c r="P384" s="182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  <c r="AG384" s="30"/>
      <c r="AH384" s="30"/>
      <c r="AI384" s="30"/>
      <c r="AJ384" s="30"/>
      <c r="AK384" s="30"/>
      <c r="AL384" s="30"/>
      <c r="AM384" s="30"/>
      <c r="AN384" s="30"/>
      <c r="AO384" s="30"/>
      <c r="AP384" s="30"/>
      <c r="AQ384" s="30"/>
      <c r="AR384" s="30"/>
      <c r="AS384" s="30"/>
      <c r="AT384" s="30"/>
      <c r="AU384" s="30"/>
      <c r="AV384" s="30"/>
      <c r="AW384" s="30"/>
      <c r="AX384" s="30"/>
      <c r="AY384" s="30"/>
      <c r="AZ384" s="30"/>
      <c r="BA384" s="30"/>
      <c r="BB384" s="30"/>
      <c r="BC384" s="30"/>
      <c r="BD384" s="30"/>
      <c r="BE384" s="30"/>
      <c r="BF384" s="30"/>
      <c r="BG384" s="30"/>
      <c r="BH384" s="30"/>
      <c r="BI384" s="30"/>
      <c r="BJ384" s="30"/>
      <c r="BK384" s="30"/>
      <c r="BL384" s="30"/>
      <c r="BM384" s="30"/>
      <c r="BN384" s="30"/>
      <c r="BO384" s="30"/>
      <c r="BP384" s="30"/>
      <c r="BQ384" s="30"/>
      <c r="BR384" s="30"/>
      <c r="BS384" s="30"/>
      <c r="BT384" s="30"/>
      <c r="BU384" s="30"/>
      <c r="BV384" s="30"/>
      <c r="BW384" s="30"/>
      <c r="BX384" s="30"/>
    </row>
    <row r="385" spans="1:76" s="33" customFormat="1" ht="19.2">
      <c r="A385" s="263" t="str">
        <f>IF(H385&lt;&gt;"",1+MAX($A$8:A384),"")</f>
        <v/>
      </c>
      <c r="B385" s="359" t="s">
        <v>95</v>
      </c>
      <c r="C385" s="360"/>
      <c r="D385" s="360"/>
      <c r="E385" s="360"/>
      <c r="F385" s="360"/>
      <c r="G385" s="360"/>
      <c r="H385" s="360"/>
      <c r="I385" s="360"/>
      <c r="J385" s="360"/>
      <c r="K385" s="360"/>
      <c r="L385" s="360"/>
      <c r="M385" s="261">
        <v>70</v>
      </c>
      <c r="N385" s="262"/>
      <c r="O385" s="282">
        <f>SUM(O386:O397)</f>
        <v>3226.8287800740745</v>
      </c>
      <c r="P385" s="263"/>
      <c r="Q385" s="30"/>
      <c r="R385" s="32"/>
      <c r="S385" s="32"/>
      <c r="T385" s="32"/>
      <c r="U385" s="32"/>
      <c r="V385" s="32"/>
      <c r="W385" s="32"/>
      <c r="X385" s="32"/>
      <c r="Y385" s="32"/>
      <c r="Z385" s="32"/>
      <c r="AA385" s="32"/>
      <c r="AB385" s="32"/>
      <c r="AC385" s="32"/>
      <c r="AD385" s="32"/>
      <c r="AE385" s="32"/>
      <c r="AF385" s="32"/>
      <c r="AG385" s="32"/>
      <c r="AH385" s="32"/>
      <c r="AI385" s="32"/>
      <c r="AJ385" s="32"/>
      <c r="AK385" s="32"/>
      <c r="AL385" s="32"/>
      <c r="AM385" s="32"/>
      <c r="AN385" s="32"/>
      <c r="AO385" s="32"/>
      <c r="AP385" s="32"/>
      <c r="AQ385" s="32"/>
      <c r="AR385" s="32"/>
      <c r="AS385" s="32"/>
      <c r="AT385" s="32"/>
      <c r="AU385" s="32"/>
      <c r="AV385" s="32"/>
      <c r="AW385" s="32"/>
      <c r="AX385" s="32"/>
      <c r="AY385" s="32"/>
      <c r="AZ385" s="32"/>
      <c r="BA385" s="32"/>
      <c r="BB385" s="32"/>
      <c r="BC385" s="32"/>
      <c r="BD385" s="32"/>
      <c r="BE385" s="32"/>
      <c r="BF385" s="32"/>
      <c r="BG385" s="32"/>
      <c r="BH385" s="32"/>
      <c r="BI385" s="32"/>
      <c r="BJ385" s="32"/>
      <c r="BK385" s="32"/>
      <c r="BL385" s="32"/>
      <c r="BM385" s="32"/>
      <c r="BN385" s="32"/>
      <c r="BO385" s="32"/>
      <c r="BP385" s="32"/>
      <c r="BQ385" s="32"/>
    </row>
    <row r="386" spans="1:76" s="31" customFormat="1" ht="16.8">
      <c r="A386" s="265" t="str">
        <f>IF(H386&lt;&gt;"",1+MAX($A$8:A385),"")</f>
        <v/>
      </c>
      <c r="B386" s="267"/>
      <c r="C386" s="236"/>
      <c r="D386" s="234"/>
      <c r="E386" s="235"/>
      <c r="F386" s="234"/>
      <c r="G386" s="180"/>
      <c r="H386" s="283"/>
      <c r="I386" s="181"/>
      <c r="J386" s="283"/>
      <c r="K386" s="181"/>
      <c r="L386" s="231"/>
      <c r="M386" s="232"/>
      <c r="N386" s="233"/>
      <c r="O386" s="266"/>
      <c r="P386" s="182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  <c r="AG386" s="30"/>
      <c r="AH386" s="30"/>
      <c r="AI386" s="30"/>
      <c r="AJ386" s="30"/>
      <c r="AK386" s="30"/>
      <c r="AL386" s="30"/>
      <c r="AM386" s="30"/>
      <c r="AN386" s="30"/>
      <c r="AO386" s="30"/>
      <c r="AP386" s="30"/>
      <c r="AQ386" s="30"/>
      <c r="AR386" s="30"/>
      <c r="AS386" s="30"/>
      <c r="AT386" s="30"/>
      <c r="AU386" s="30"/>
      <c r="AV386" s="30"/>
      <c r="AW386" s="30"/>
      <c r="AX386" s="30"/>
      <c r="AY386" s="30"/>
      <c r="AZ386" s="30"/>
      <c r="BA386" s="30"/>
      <c r="BB386" s="30"/>
      <c r="BC386" s="30"/>
      <c r="BD386" s="30"/>
      <c r="BE386" s="30"/>
      <c r="BF386" s="30"/>
      <c r="BG386" s="30"/>
      <c r="BH386" s="30"/>
      <c r="BI386" s="30"/>
      <c r="BJ386" s="30"/>
      <c r="BK386" s="30"/>
      <c r="BL386" s="30"/>
      <c r="BM386" s="30"/>
      <c r="BN386" s="30"/>
      <c r="BO386" s="30"/>
      <c r="BP386" s="30"/>
      <c r="BQ386" s="30"/>
      <c r="BR386" s="30"/>
      <c r="BS386" s="30"/>
      <c r="BT386" s="30"/>
      <c r="BU386" s="30"/>
      <c r="BV386" s="30"/>
      <c r="BW386" s="30"/>
      <c r="BX386" s="30"/>
    </row>
    <row r="387" spans="1:76" s="31" customFormat="1" ht="15.6" customHeight="1">
      <c r="A387" s="265" t="str">
        <f>IF(H387&lt;&gt;"",1+MAX($A$8:A386),"")</f>
        <v/>
      </c>
      <c r="B387" s="361" t="s">
        <v>270</v>
      </c>
      <c r="C387" s="179" t="s">
        <v>361</v>
      </c>
      <c r="D387" s="234"/>
      <c r="E387" s="235"/>
      <c r="F387" s="234"/>
      <c r="G387" s="180"/>
      <c r="H387" s="283"/>
      <c r="I387" s="181"/>
      <c r="J387" s="283"/>
      <c r="K387" s="181"/>
      <c r="L387" s="231"/>
      <c r="M387" s="232"/>
      <c r="N387" s="233"/>
      <c r="O387" s="266"/>
      <c r="P387" s="182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  <c r="AG387" s="30"/>
      <c r="AH387" s="30"/>
      <c r="AI387" s="30"/>
      <c r="AJ387" s="30"/>
      <c r="AK387" s="30"/>
      <c r="AL387" s="30"/>
      <c r="AM387" s="30"/>
      <c r="AN387" s="30"/>
      <c r="AO387" s="30"/>
      <c r="AP387" s="30"/>
      <c r="AQ387" s="30"/>
      <c r="AR387" s="30"/>
      <c r="AS387" s="30"/>
      <c r="AT387" s="30"/>
      <c r="AU387" s="30"/>
      <c r="AV387" s="30"/>
      <c r="AW387" s="30"/>
      <c r="AX387" s="30"/>
      <c r="AY387" s="30"/>
      <c r="AZ387" s="30"/>
      <c r="BA387" s="30"/>
      <c r="BB387" s="30"/>
      <c r="BC387" s="30"/>
      <c r="BD387" s="30"/>
      <c r="BE387" s="30"/>
      <c r="BF387" s="30"/>
      <c r="BG387" s="30"/>
      <c r="BH387" s="30"/>
      <c r="BI387" s="30"/>
      <c r="BJ387" s="30"/>
      <c r="BK387" s="30"/>
      <c r="BL387" s="30"/>
      <c r="BM387" s="30"/>
      <c r="BN387" s="30"/>
      <c r="BO387" s="30"/>
      <c r="BP387" s="30"/>
      <c r="BQ387" s="30"/>
      <c r="BR387" s="30"/>
      <c r="BS387" s="30"/>
      <c r="BT387" s="30"/>
      <c r="BU387" s="30"/>
      <c r="BV387" s="30"/>
      <c r="BW387" s="30"/>
      <c r="BX387" s="30"/>
    </row>
    <row r="388" spans="1:76" s="30" customFormat="1" ht="16.8">
      <c r="A388" s="265">
        <f>IF(H388&lt;&gt;"",1+MAX($A$8:A387),"")</f>
        <v>238</v>
      </c>
      <c r="B388" s="362"/>
      <c r="C388" s="236" t="s">
        <v>362</v>
      </c>
      <c r="D388" s="234">
        <f>330*6.5/27</f>
        <v>79.444444444444443</v>
      </c>
      <c r="E388" s="235">
        <v>0.15</v>
      </c>
      <c r="F388" s="234">
        <f t="shared" ref="F388" si="274">(1+E388)*D388</f>
        <v>91.3611111111111</v>
      </c>
      <c r="G388" s="180" t="s">
        <v>94</v>
      </c>
      <c r="H388" s="288">
        <v>0</v>
      </c>
      <c r="I388" s="181">
        <f>H388*F388</f>
        <v>0</v>
      </c>
      <c r="J388" s="289">
        <v>21.700000000000003</v>
      </c>
      <c r="K388" s="231">
        <f t="shared" ref="K388" si="275">N388/M388</f>
        <v>24.62777777777778</v>
      </c>
      <c r="L388" s="231">
        <f>D388/K388</f>
        <v>3.225806451612903</v>
      </c>
      <c r="M388" s="232">
        <f>$M$385</f>
        <v>70</v>
      </c>
      <c r="N388" s="233">
        <f>D388*J388</f>
        <v>1723.9444444444446</v>
      </c>
      <c r="O388" s="266">
        <f>N388+I388</f>
        <v>1723.9444444444446</v>
      </c>
      <c r="P388" s="182">
        <f>O388/F388</f>
        <v>18.869565217391308</v>
      </c>
    </row>
    <row r="389" spans="1:76" s="31" customFormat="1" ht="15.6" customHeight="1">
      <c r="A389" s="265" t="str">
        <f>IF(H389&lt;&gt;"",1+MAX($A$8:A388),"")</f>
        <v/>
      </c>
      <c r="B389" s="362"/>
      <c r="C389" s="179" t="s">
        <v>96</v>
      </c>
      <c r="D389" s="234"/>
      <c r="E389" s="235"/>
      <c r="F389" s="234"/>
      <c r="G389" s="180"/>
      <c r="H389" s="283"/>
      <c r="I389" s="181"/>
      <c r="J389" s="283"/>
      <c r="K389" s="181"/>
      <c r="L389" s="231"/>
      <c r="M389" s="232"/>
      <c r="N389" s="233"/>
      <c r="O389" s="266"/>
      <c r="P389" s="182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  <c r="AG389" s="30"/>
      <c r="AH389" s="30"/>
      <c r="AI389" s="30"/>
      <c r="AJ389" s="30"/>
      <c r="AK389" s="30"/>
      <c r="AL389" s="30"/>
      <c r="AM389" s="30"/>
      <c r="AN389" s="30"/>
      <c r="AO389" s="30"/>
      <c r="AP389" s="30"/>
      <c r="AQ389" s="30"/>
      <c r="AR389" s="30"/>
      <c r="AS389" s="30"/>
      <c r="AT389" s="30"/>
      <c r="AU389" s="30"/>
      <c r="AV389" s="30"/>
      <c r="AW389" s="30"/>
      <c r="AX389" s="30"/>
      <c r="AY389" s="30"/>
      <c r="AZ389" s="30"/>
      <c r="BA389" s="30"/>
      <c r="BB389" s="30"/>
      <c r="BC389" s="30"/>
      <c r="BD389" s="30"/>
      <c r="BE389" s="30"/>
      <c r="BF389" s="30"/>
      <c r="BG389" s="30"/>
      <c r="BH389" s="30"/>
      <c r="BI389" s="30"/>
      <c r="BJ389" s="30"/>
      <c r="BK389" s="30"/>
      <c r="BL389" s="30"/>
      <c r="BM389" s="30"/>
      <c r="BN389" s="30"/>
      <c r="BO389" s="30"/>
      <c r="BP389" s="30"/>
      <c r="BQ389" s="30"/>
      <c r="BR389" s="30"/>
      <c r="BS389" s="30"/>
      <c r="BT389" s="30"/>
      <c r="BU389" s="30"/>
      <c r="BV389" s="30"/>
      <c r="BW389" s="30"/>
      <c r="BX389" s="30"/>
    </row>
    <row r="390" spans="1:76" s="30" customFormat="1" ht="16.8">
      <c r="A390" s="265">
        <f>IF(H390&lt;&gt;"",1+MAX($A$8:A389),"")</f>
        <v>239</v>
      </c>
      <c r="B390" s="362"/>
      <c r="C390" s="236" t="s">
        <v>363</v>
      </c>
      <c r="D390" s="234">
        <v>0.68</v>
      </c>
      <c r="E390" s="235">
        <v>0.15</v>
      </c>
      <c r="F390" s="234">
        <f t="shared" ref="F390:F391" si="276">(1+E390)*D390</f>
        <v>0.78200000000000003</v>
      </c>
      <c r="G390" s="180" t="s">
        <v>94</v>
      </c>
      <c r="H390" s="288">
        <v>0</v>
      </c>
      <c r="I390" s="181">
        <f t="shared" ref="I390:I391" si="277">H390*F390</f>
        <v>0</v>
      </c>
      <c r="J390" s="289">
        <v>21.700000000000003</v>
      </c>
      <c r="K390" s="231">
        <f t="shared" ref="K390:K391" si="278">N390/M390</f>
        <v>0.21080000000000004</v>
      </c>
      <c r="L390" s="231">
        <f>D390/K390</f>
        <v>3.2258064516129026</v>
      </c>
      <c r="M390" s="232">
        <f>$M$385</f>
        <v>70</v>
      </c>
      <c r="N390" s="233">
        <f>D390*J390</f>
        <v>14.756000000000004</v>
      </c>
      <c r="O390" s="266">
        <f>N390+I390</f>
        <v>14.756000000000004</v>
      </c>
      <c r="P390" s="182">
        <f>O390/F390</f>
        <v>18.869565217391308</v>
      </c>
    </row>
    <row r="391" spans="1:76" s="30" customFormat="1" ht="16.8">
      <c r="A391" s="265">
        <f>IF(H391&lt;&gt;"",1+MAX($A$8:A390),"")</f>
        <v>240</v>
      </c>
      <c r="B391" s="362"/>
      <c r="C391" s="236" t="s">
        <v>364</v>
      </c>
      <c r="D391" s="234">
        <v>2.7</v>
      </c>
      <c r="E391" s="235">
        <v>0.15</v>
      </c>
      <c r="F391" s="234">
        <f t="shared" si="276"/>
        <v>3.105</v>
      </c>
      <c r="G391" s="180" t="s">
        <v>94</v>
      </c>
      <c r="H391" s="288">
        <v>0</v>
      </c>
      <c r="I391" s="181">
        <f t="shared" si="277"/>
        <v>0</v>
      </c>
      <c r="J391" s="289">
        <v>21.700000000000003</v>
      </c>
      <c r="K391" s="231">
        <f t="shared" si="278"/>
        <v>0.83700000000000019</v>
      </c>
      <c r="L391" s="231">
        <f>D391/K391</f>
        <v>3.2258064516129026</v>
      </c>
      <c r="M391" s="232">
        <f>$M$385</f>
        <v>70</v>
      </c>
      <c r="N391" s="233">
        <f>D391*J391</f>
        <v>58.590000000000011</v>
      </c>
      <c r="O391" s="266">
        <f>N391+I391</f>
        <v>58.590000000000011</v>
      </c>
      <c r="P391" s="182">
        <f>O391/F391</f>
        <v>18.869565217391308</v>
      </c>
    </row>
    <row r="392" spans="1:76" s="31" customFormat="1" ht="16.8">
      <c r="A392" s="265" t="str">
        <f>IF(H392&lt;&gt;"",1+MAX($A$8:A391),"")</f>
        <v/>
      </c>
      <c r="B392" s="362"/>
      <c r="C392" s="179" t="s">
        <v>97</v>
      </c>
      <c r="D392" s="234"/>
      <c r="E392" s="235"/>
      <c r="F392" s="234"/>
      <c r="G392" s="180"/>
      <c r="H392" s="283"/>
      <c r="I392" s="181"/>
      <c r="J392" s="283"/>
      <c r="K392" s="181"/>
      <c r="L392" s="231"/>
      <c r="M392" s="232"/>
      <c r="N392" s="233"/>
      <c r="O392" s="266"/>
      <c r="P392" s="182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  <c r="AH392" s="30"/>
      <c r="AI392" s="30"/>
      <c r="AJ392" s="30"/>
      <c r="AK392" s="30"/>
      <c r="AL392" s="30"/>
      <c r="AM392" s="30"/>
      <c r="AN392" s="30"/>
      <c r="AO392" s="30"/>
      <c r="AP392" s="30"/>
      <c r="AQ392" s="30"/>
      <c r="AR392" s="30"/>
      <c r="AS392" s="30"/>
      <c r="AT392" s="30"/>
      <c r="AU392" s="30"/>
      <c r="AV392" s="30"/>
      <c r="AW392" s="30"/>
      <c r="AX392" s="30"/>
      <c r="AY392" s="30"/>
      <c r="AZ392" s="30"/>
      <c r="BA392" s="30"/>
      <c r="BB392" s="30"/>
      <c r="BC392" s="30"/>
      <c r="BD392" s="30"/>
      <c r="BE392" s="30"/>
      <c r="BF392" s="30"/>
      <c r="BG392" s="30"/>
      <c r="BH392" s="30"/>
      <c r="BI392" s="30"/>
      <c r="BJ392" s="30"/>
      <c r="BK392" s="30"/>
      <c r="BL392" s="30"/>
      <c r="BM392" s="30"/>
      <c r="BN392" s="30"/>
      <c r="BO392" s="30"/>
      <c r="BP392" s="30"/>
      <c r="BQ392" s="30"/>
      <c r="BR392" s="30"/>
      <c r="BS392" s="30"/>
      <c r="BT392" s="30"/>
      <c r="BU392" s="30"/>
      <c r="BV392" s="30"/>
      <c r="BW392" s="30"/>
      <c r="BX392" s="30"/>
    </row>
    <row r="393" spans="1:76" s="30" customFormat="1" ht="16.8">
      <c r="A393" s="265">
        <f>IF(H393&lt;&gt;"",1+MAX($A$8:A392),"")</f>
        <v>241</v>
      </c>
      <c r="B393" s="362"/>
      <c r="C393" s="236" t="s">
        <v>365</v>
      </c>
      <c r="D393" s="234">
        <f>162.5/27</f>
        <v>6.0185185185185182</v>
      </c>
      <c r="E393" s="235">
        <v>0.15</v>
      </c>
      <c r="F393" s="234">
        <f t="shared" ref="F393:F395" si="279">(1+E393)*D393</f>
        <v>6.9212962962962949</v>
      </c>
      <c r="G393" s="180" t="s">
        <v>94</v>
      </c>
      <c r="H393" s="288">
        <v>0</v>
      </c>
      <c r="I393" s="181">
        <f t="shared" ref="I393:I395" si="280">H393*F393</f>
        <v>0</v>
      </c>
      <c r="J393" s="289">
        <v>16.270000000000003</v>
      </c>
      <c r="K393" s="231">
        <f t="shared" ref="K393:K395" si="281">N393/M393</f>
        <v>1.3988756613756614</v>
      </c>
      <c r="L393" s="231">
        <f>D393/K393</f>
        <v>4.3023970497848794</v>
      </c>
      <c r="M393" s="232">
        <f>$M$385</f>
        <v>70</v>
      </c>
      <c r="N393" s="233">
        <f>D393*J393</f>
        <v>97.921296296296305</v>
      </c>
      <c r="O393" s="266">
        <f>N393+I393</f>
        <v>97.921296296296305</v>
      </c>
      <c r="P393" s="182">
        <f>O393/F393</f>
        <v>14.147826086956526</v>
      </c>
    </row>
    <row r="394" spans="1:76" s="30" customFormat="1" ht="16.8">
      <c r="A394" s="265">
        <f>IF(H394&lt;&gt;"",1+MAX($A$8:A393),"")</f>
        <v>242</v>
      </c>
      <c r="B394" s="362"/>
      <c r="C394" s="236" t="s">
        <v>366</v>
      </c>
      <c r="D394" s="234">
        <f>D390-D56</f>
        <v>0.34666666666666673</v>
      </c>
      <c r="E394" s="235">
        <v>0.15</v>
      </c>
      <c r="F394" s="234">
        <f t="shared" si="279"/>
        <v>0.39866666666666672</v>
      </c>
      <c r="G394" s="180" t="s">
        <v>94</v>
      </c>
      <c r="H394" s="288">
        <v>0</v>
      </c>
      <c r="I394" s="181">
        <f t="shared" si="280"/>
        <v>0</v>
      </c>
      <c r="J394" s="289">
        <v>16.270000000000003</v>
      </c>
      <c r="K394" s="231">
        <f t="shared" si="281"/>
        <v>8.057523809523813E-2</v>
      </c>
      <c r="L394" s="231">
        <f>D394/K394</f>
        <v>4.3023970497848794</v>
      </c>
      <c r="M394" s="232">
        <f>$M$385</f>
        <v>70</v>
      </c>
      <c r="N394" s="233">
        <f>D394*J394</f>
        <v>5.640266666666669</v>
      </c>
      <c r="O394" s="266">
        <f>N394+I394</f>
        <v>5.640266666666669</v>
      </c>
      <c r="P394" s="182">
        <f>O394/F394</f>
        <v>14.147826086956526</v>
      </c>
    </row>
    <row r="395" spans="1:76" s="30" customFormat="1" ht="16.8">
      <c r="A395" s="265">
        <f>IF(H395&lt;&gt;"",1+MAX($A$8:A394),"")</f>
        <v>243</v>
      </c>
      <c r="B395" s="362"/>
      <c r="C395" s="236" t="s">
        <v>367</v>
      </c>
      <c r="D395" s="234">
        <f>D391-D58</f>
        <v>1.2440074074074077</v>
      </c>
      <c r="E395" s="235">
        <v>0.15</v>
      </c>
      <c r="F395" s="234">
        <f t="shared" si="279"/>
        <v>1.4306085185185187</v>
      </c>
      <c r="G395" s="180" t="s">
        <v>94</v>
      </c>
      <c r="H395" s="288">
        <v>0</v>
      </c>
      <c r="I395" s="181">
        <f t="shared" si="280"/>
        <v>0</v>
      </c>
      <c r="J395" s="289">
        <v>16.270000000000003</v>
      </c>
      <c r="K395" s="231">
        <f t="shared" si="281"/>
        <v>0.28914286455026467</v>
      </c>
      <c r="L395" s="231">
        <f>D395/K395</f>
        <v>4.3023970497848794</v>
      </c>
      <c r="M395" s="232">
        <f>$M$385</f>
        <v>70</v>
      </c>
      <c r="N395" s="233">
        <f>D395*J395</f>
        <v>20.240000518518528</v>
      </c>
      <c r="O395" s="266">
        <f>N395+I395</f>
        <v>20.240000518518528</v>
      </c>
      <c r="P395" s="182">
        <f>O395/F395</f>
        <v>14.147826086956528</v>
      </c>
    </row>
    <row r="396" spans="1:76" s="30" customFormat="1" ht="16.8">
      <c r="A396" s="265" t="str">
        <f>IF(H396&lt;&gt;"",1+MAX($A$8:A395),"")</f>
        <v/>
      </c>
      <c r="B396" s="362"/>
      <c r="C396" s="236"/>
      <c r="D396" s="234"/>
      <c r="E396" s="235"/>
      <c r="F396" s="234"/>
      <c r="G396" s="180"/>
      <c r="H396" s="288"/>
      <c r="I396" s="181"/>
      <c r="J396" s="289"/>
      <c r="K396" s="231"/>
      <c r="L396" s="231"/>
      <c r="M396" s="232"/>
      <c r="N396" s="233"/>
      <c r="O396" s="266"/>
      <c r="P396" s="182"/>
    </row>
    <row r="397" spans="1:76" s="31" customFormat="1" ht="16.8">
      <c r="A397" s="265">
        <f>IF(H397&lt;&gt;"",1+MAX($A$8:A396),"")</f>
        <v>244</v>
      </c>
      <c r="B397" s="363"/>
      <c r="C397" s="310" t="s">
        <v>368</v>
      </c>
      <c r="D397" s="234">
        <f>(D388+D390+D391)-(D393+D394+D395)</f>
        <v>75.21525185185186</v>
      </c>
      <c r="E397" s="235">
        <v>0.15</v>
      </c>
      <c r="F397" s="234">
        <f t="shared" ref="F397" si="282">(1+E397)*D397</f>
        <v>86.497539629629628</v>
      </c>
      <c r="G397" s="180" t="s">
        <v>94</v>
      </c>
      <c r="H397" s="288">
        <v>0</v>
      </c>
      <c r="I397" s="181">
        <f>H397*F397</f>
        <v>0</v>
      </c>
      <c r="J397" s="289">
        <v>17.360000000000003</v>
      </c>
      <c r="K397" s="231">
        <f t="shared" ref="K397" si="283">N397/M397</f>
        <v>18.653382459259262</v>
      </c>
      <c r="L397" s="231">
        <f>D397/K397</f>
        <v>4.032258064516129</v>
      </c>
      <c r="M397" s="232">
        <f>$M$385</f>
        <v>70</v>
      </c>
      <c r="N397" s="233">
        <f>D397*J397</f>
        <v>1305.7367721481485</v>
      </c>
      <c r="O397" s="266">
        <f>N397+I397</f>
        <v>1305.7367721481485</v>
      </c>
      <c r="P397" s="182">
        <f>O397/F397</f>
        <v>15.095652173913047</v>
      </c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30"/>
      <c r="AI397" s="30"/>
      <c r="AJ397" s="30"/>
      <c r="AK397" s="30"/>
      <c r="AL397" s="30"/>
      <c r="AM397" s="30"/>
      <c r="AN397" s="30"/>
      <c r="AO397" s="30"/>
      <c r="AP397" s="30"/>
      <c r="AQ397" s="30"/>
      <c r="AR397" s="30"/>
      <c r="AS397" s="30"/>
      <c r="AT397" s="30"/>
      <c r="AU397" s="30"/>
      <c r="AV397" s="30"/>
      <c r="AW397" s="30"/>
      <c r="AX397" s="30"/>
      <c r="AY397" s="30"/>
      <c r="AZ397" s="30"/>
      <c r="BA397" s="30"/>
      <c r="BB397" s="30"/>
      <c r="BC397" s="30"/>
      <c r="BD397" s="30"/>
      <c r="BE397" s="30"/>
      <c r="BF397" s="30"/>
      <c r="BG397" s="30"/>
      <c r="BH397" s="30"/>
      <c r="BI397" s="30"/>
      <c r="BJ397" s="30"/>
      <c r="BK397" s="30"/>
      <c r="BL397" s="30"/>
      <c r="BM397" s="30"/>
      <c r="BN397" s="30"/>
      <c r="BO397" s="30"/>
      <c r="BP397" s="30"/>
      <c r="BQ397" s="30"/>
      <c r="BR397" s="30"/>
      <c r="BS397" s="30"/>
      <c r="BT397" s="30"/>
      <c r="BU397" s="30"/>
      <c r="BV397" s="30"/>
      <c r="BW397" s="30"/>
      <c r="BX397" s="30"/>
    </row>
    <row r="398" spans="1:76" s="31" customFormat="1" ht="17.399999999999999" thickBot="1">
      <c r="A398" s="264" t="str">
        <f>IF(F398&lt;&gt;"",1+MAX($A$8:A397),"")</f>
        <v/>
      </c>
      <c r="B398" s="214"/>
      <c r="C398" s="245"/>
      <c r="D398" s="183"/>
      <c r="E398" s="184"/>
      <c r="F398" s="183"/>
      <c r="G398" s="185"/>
      <c r="H398" s="323"/>
      <c r="I398" s="186"/>
      <c r="J398" s="323"/>
      <c r="K398" s="187"/>
      <c r="L398" s="187"/>
      <c r="M398" s="188"/>
      <c r="N398" s="189"/>
      <c r="O398" s="190"/>
      <c r="P398" s="191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  <c r="AG398" s="30"/>
      <c r="AH398" s="30"/>
      <c r="AI398" s="30"/>
      <c r="AJ398" s="30"/>
      <c r="AK398" s="30"/>
      <c r="AL398" s="30"/>
      <c r="AM398" s="30"/>
      <c r="AN398" s="30"/>
      <c r="AO398" s="30"/>
      <c r="AP398" s="30"/>
      <c r="AQ398" s="30"/>
      <c r="AR398" s="30"/>
      <c r="AS398" s="30"/>
      <c r="AT398" s="30"/>
      <c r="AU398" s="30"/>
      <c r="AV398" s="30"/>
      <c r="AW398" s="30"/>
      <c r="AX398" s="30"/>
      <c r="AY398" s="30"/>
      <c r="AZ398" s="30"/>
      <c r="BA398" s="30"/>
      <c r="BB398" s="30"/>
      <c r="BC398" s="30"/>
      <c r="BD398" s="30"/>
      <c r="BE398" s="30"/>
      <c r="BF398" s="30"/>
      <c r="BG398" s="30"/>
      <c r="BH398" s="30"/>
      <c r="BI398" s="30"/>
      <c r="BJ398" s="30"/>
      <c r="BK398" s="30"/>
      <c r="BL398" s="30"/>
      <c r="BM398" s="30"/>
      <c r="BN398" s="30"/>
      <c r="BO398" s="30"/>
      <c r="BP398" s="30"/>
      <c r="BQ398" s="30"/>
      <c r="BR398" s="30"/>
      <c r="BS398" s="30"/>
      <c r="BT398" s="30"/>
      <c r="BU398" s="30"/>
      <c r="BV398" s="30"/>
      <c r="BW398" s="30"/>
      <c r="BX398" s="30"/>
    </row>
    <row r="399" spans="1:76" s="30" customFormat="1" ht="19.8" thickBot="1">
      <c r="A399" s="392" t="s">
        <v>74</v>
      </c>
      <c r="B399" s="393"/>
      <c r="C399" s="394"/>
      <c r="D399" s="34"/>
      <c r="E399" s="34"/>
      <c r="F399" s="34"/>
      <c r="G399" s="162"/>
      <c r="H399" s="324"/>
      <c r="I399" s="61"/>
      <c r="J399" s="324"/>
      <c r="K399" s="396" t="s">
        <v>75</v>
      </c>
      <c r="L399" s="397"/>
      <c r="M399" s="397"/>
      <c r="N399" s="397"/>
      <c r="O399" s="398"/>
      <c r="P399" s="178">
        <f>SUM(O7:O397)/2</f>
        <v>284853.9076630671</v>
      </c>
      <c r="Q399" s="32"/>
    </row>
    <row r="400" spans="1:76" s="30" customFormat="1" ht="15.75" customHeight="1" thickBot="1">
      <c r="A400" s="384" t="s">
        <v>76</v>
      </c>
      <c r="B400" s="385"/>
      <c r="C400" s="385"/>
      <c r="D400" s="34"/>
      <c r="E400" s="34"/>
      <c r="F400" s="34"/>
      <c r="G400" s="162"/>
      <c r="H400" s="324"/>
      <c r="I400" s="61"/>
      <c r="J400" s="324"/>
      <c r="K400" s="47"/>
      <c r="L400" s="48"/>
      <c r="M400" s="48"/>
      <c r="N400" s="48"/>
      <c r="O400" s="48"/>
      <c r="P400" s="49"/>
      <c r="Q400" s="32"/>
    </row>
    <row r="401" spans="1:409" ht="19.2">
      <c r="A401" s="384"/>
      <c r="B401" s="385"/>
      <c r="C401" s="385"/>
      <c r="D401" s="204"/>
      <c r="E401" s="204"/>
      <c r="F401" s="204"/>
      <c r="G401" s="162"/>
      <c r="H401" s="324"/>
      <c r="I401" s="61"/>
      <c r="J401" s="324"/>
      <c r="K401" s="389" t="s">
        <v>77</v>
      </c>
      <c r="L401" s="390"/>
      <c r="M401" s="390"/>
      <c r="N401" s="390"/>
      <c r="O401" s="390"/>
      <c r="P401" s="391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  <c r="AJ401" s="50"/>
      <c r="AK401" s="50"/>
      <c r="AL401" s="50"/>
      <c r="AM401" s="50"/>
      <c r="AN401" s="50"/>
      <c r="AO401" s="50"/>
      <c r="AP401" s="50"/>
      <c r="AQ401" s="50"/>
      <c r="AR401" s="50"/>
      <c r="AS401" s="50"/>
      <c r="AT401" s="50"/>
      <c r="AU401" s="50"/>
      <c r="AV401" s="50"/>
      <c r="AW401" s="50"/>
      <c r="AX401" s="50"/>
      <c r="AY401" s="50"/>
      <c r="AZ401" s="50"/>
      <c r="BA401" s="50"/>
      <c r="BB401" s="50"/>
      <c r="BC401" s="50"/>
      <c r="BD401" s="50"/>
      <c r="BE401" s="50"/>
      <c r="BF401" s="50"/>
      <c r="BG401" s="50"/>
      <c r="BH401" s="50"/>
      <c r="BI401" s="50"/>
      <c r="BJ401" s="50"/>
      <c r="BK401" s="50"/>
      <c r="BL401" s="50"/>
      <c r="BM401" s="50"/>
      <c r="BN401" s="50"/>
      <c r="BO401" s="50"/>
      <c r="BP401" s="50"/>
      <c r="BQ401" s="50"/>
      <c r="BR401" s="50"/>
      <c r="BS401" s="50"/>
      <c r="BT401" s="50"/>
      <c r="BU401" s="50"/>
      <c r="BV401" s="50"/>
      <c r="BW401" s="50"/>
      <c r="BX401" s="50"/>
      <c r="BY401" s="50"/>
      <c r="BZ401" s="50"/>
      <c r="CA401" s="50"/>
      <c r="CB401" s="50"/>
      <c r="CC401" s="50"/>
      <c r="CD401" s="50"/>
      <c r="CE401" s="50"/>
      <c r="CF401" s="50"/>
      <c r="CG401" s="50"/>
      <c r="CH401" s="50"/>
      <c r="CI401" s="50"/>
      <c r="CJ401" s="50"/>
      <c r="CK401" s="50"/>
      <c r="CL401" s="50"/>
      <c r="CM401" s="50"/>
      <c r="CN401" s="50"/>
      <c r="CO401" s="50"/>
      <c r="CP401" s="50"/>
      <c r="CQ401" s="50"/>
      <c r="CR401" s="50"/>
      <c r="CS401" s="50"/>
      <c r="CT401" s="50"/>
      <c r="CU401" s="50"/>
      <c r="CV401" s="50"/>
      <c r="CW401" s="50"/>
      <c r="CX401" s="50"/>
      <c r="CY401" s="50"/>
      <c r="CZ401" s="50"/>
      <c r="DA401" s="50"/>
      <c r="DB401" s="50"/>
      <c r="DC401" s="50"/>
      <c r="DD401" s="50"/>
      <c r="DE401" s="50"/>
      <c r="DF401" s="50"/>
      <c r="DG401" s="50"/>
      <c r="DH401" s="50"/>
      <c r="DI401" s="50"/>
      <c r="DJ401" s="50"/>
      <c r="DK401" s="50"/>
      <c r="DL401" s="50"/>
      <c r="DM401" s="50"/>
      <c r="DN401" s="50"/>
      <c r="DO401" s="50"/>
      <c r="DP401" s="50"/>
      <c r="DQ401" s="50"/>
      <c r="DR401" s="50"/>
      <c r="DS401" s="50"/>
      <c r="DT401" s="50"/>
      <c r="DU401" s="50"/>
      <c r="DV401" s="50"/>
      <c r="DW401" s="50"/>
      <c r="DX401" s="50"/>
      <c r="DY401" s="50"/>
      <c r="DZ401" s="50"/>
      <c r="EA401" s="50"/>
      <c r="EB401" s="50"/>
      <c r="EC401" s="50"/>
      <c r="ED401" s="50"/>
      <c r="EE401" s="50"/>
      <c r="EF401" s="50"/>
      <c r="EG401" s="50"/>
      <c r="EH401" s="50"/>
      <c r="EI401" s="50"/>
      <c r="EJ401" s="50"/>
      <c r="EK401" s="50"/>
      <c r="EL401" s="50"/>
      <c r="EM401" s="50"/>
      <c r="EN401" s="50"/>
      <c r="EO401" s="50"/>
      <c r="EP401" s="50"/>
      <c r="EQ401" s="50"/>
      <c r="ER401" s="50"/>
      <c r="ES401" s="50"/>
      <c r="ET401" s="50"/>
      <c r="EU401" s="50"/>
      <c r="EV401" s="50"/>
      <c r="EW401" s="50"/>
      <c r="EX401" s="50"/>
      <c r="EY401" s="50"/>
      <c r="EZ401" s="50"/>
      <c r="FA401" s="50"/>
      <c r="FB401" s="50"/>
      <c r="FC401" s="50"/>
      <c r="FD401" s="50"/>
      <c r="FE401" s="50"/>
      <c r="FF401" s="50"/>
      <c r="FG401" s="50"/>
      <c r="FH401" s="50"/>
      <c r="FI401" s="50"/>
      <c r="FJ401" s="50"/>
      <c r="FK401" s="50"/>
      <c r="FL401" s="50"/>
      <c r="FM401" s="50"/>
      <c r="FN401" s="50"/>
      <c r="FO401" s="50"/>
      <c r="FP401" s="50"/>
      <c r="FQ401" s="50"/>
      <c r="FR401" s="50"/>
      <c r="FS401" s="50"/>
      <c r="FT401" s="50"/>
      <c r="FU401" s="50"/>
      <c r="FV401" s="50"/>
      <c r="FW401" s="50"/>
      <c r="FX401" s="50"/>
      <c r="FY401" s="50"/>
      <c r="FZ401" s="50"/>
      <c r="GA401" s="50"/>
      <c r="GB401" s="50"/>
      <c r="GC401" s="50"/>
      <c r="GD401" s="50"/>
      <c r="GE401" s="50"/>
      <c r="GF401" s="50"/>
      <c r="GG401" s="50"/>
      <c r="GH401" s="50"/>
      <c r="GI401" s="50"/>
      <c r="GJ401" s="50"/>
      <c r="GK401" s="50"/>
      <c r="GL401" s="50"/>
      <c r="GM401" s="50"/>
      <c r="GN401" s="50"/>
      <c r="GO401" s="50"/>
      <c r="GP401" s="50"/>
      <c r="GQ401" s="50"/>
      <c r="GR401" s="50"/>
      <c r="GS401" s="50"/>
      <c r="GT401" s="50"/>
      <c r="GU401" s="50"/>
      <c r="GV401" s="50"/>
      <c r="GW401" s="50"/>
      <c r="GX401" s="50"/>
      <c r="GY401" s="50"/>
      <c r="GZ401" s="50"/>
      <c r="HA401" s="50"/>
      <c r="HB401" s="50"/>
      <c r="HC401" s="50"/>
      <c r="HD401" s="50"/>
      <c r="HE401" s="50"/>
      <c r="HF401" s="50"/>
      <c r="HG401" s="50"/>
      <c r="HH401" s="50"/>
      <c r="HI401" s="50"/>
      <c r="HJ401" s="50"/>
      <c r="HK401" s="50"/>
      <c r="HL401" s="50"/>
      <c r="HM401" s="50"/>
      <c r="HN401" s="50"/>
      <c r="HO401" s="50"/>
      <c r="HP401" s="50"/>
      <c r="HQ401" s="50"/>
      <c r="HR401" s="50"/>
      <c r="HS401" s="50"/>
      <c r="HT401" s="50"/>
      <c r="HU401" s="50"/>
      <c r="HV401" s="50"/>
      <c r="HW401" s="50"/>
      <c r="HX401" s="50"/>
      <c r="HY401" s="50"/>
      <c r="HZ401" s="50"/>
      <c r="IA401" s="50"/>
      <c r="IB401" s="50"/>
      <c r="IC401" s="50"/>
      <c r="ID401" s="50"/>
      <c r="IE401" s="50"/>
      <c r="IF401" s="50"/>
      <c r="IG401" s="50"/>
      <c r="IH401" s="50"/>
      <c r="II401" s="50"/>
      <c r="IJ401" s="50"/>
      <c r="IK401" s="50"/>
      <c r="IL401" s="50"/>
      <c r="IM401" s="50"/>
      <c r="IN401" s="50"/>
      <c r="IO401" s="50"/>
      <c r="IP401" s="50"/>
      <c r="IQ401" s="50"/>
      <c r="IR401" s="50"/>
      <c r="IS401" s="50"/>
      <c r="IT401" s="50"/>
      <c r="IU401" s="50"/>
      <c r="IV401" s="50"/>
      <c r="IW401" s="50"/>
      <c r="IX401" s="50"/>
      <c r="IY401" s="50"/>
      <c r="IZ401" s="50"/>
      <c r="JA401" s="50"/>
      <c r="JB401" s="50"/>
      <c r="JC401" s="50"/>
      <c r="JD401" s="50"/>
      <c r="JE401" s="50"/>
      <c r="JF401" s="50"/>
      <c r="JG401" s="50"/>
      <c r="JH401" s="50"/>
      <c r="JI401" s="50"/>
      <c r="JJ401" s="50"/>
      <c r="JK401" s="50"/>
      <c r="JL401" s="50"/>
      <c r="JM401" s="50"/>
      <c r="JN401" s="50"/>
      <c r="JO401" s="50"/>
      <c r="JP401" s="50"/>
      <c r="JQ401" s="50"/>
      <c r="JR401" s="50"/>
      <c r="JS401" s="50"/>
      <c r="JT401" s="50"/>
      <c r="JU401" s="50"/>
      <c r="JV401" s="50"/>
      <c r="JW401" s="50"/>
      <c r="JX401" s="50"/>
      <c r="JY401" s="50"/>
      <c r="JZ401" s="50"/>
      <c r="KA401" s="50"/>
      <c r="KB401" s="50"/>
      <c r="KC401" s="50"/>
      <c r="KD401" s="50"/>
      <c r="KE401" s="50"/>
      <c r="KF401" s="50"/>
      <c r="KG401" s="50"/>
      <c r="KH401" s="50"/>
      <c r="KI401" s="50"/>
      <c r="KJ401" s="50"/>
      <c r="KK401" s="50"/>
      <c r="KL401" s="50"/>
      <c r="KM401" s="50"/>
      <c r="KN401" s="50"/>
      <c r="KO401" s="50"/>
      <c r="KP401" s="50"/>
      <c r="KQ401" s="50"/>
      <c r="KR401" s="50"/>
      <c r="KS401" s="50"/>
      <c r="KT401" s="50"/>
      <c r="KU401" s="50"/>
      <c r="KV401" s="50"/>
      <c r="KW401" s="50"/>
      <c r="KX401" s="50"/>
      <c r="KY401" s="50"/>
      <c r="KZ401" s="50"/>
      <c r="LA401" s="50"/>
      <c r="LB401" s="50"/>
      <c r="LC401" s="50"/>
      <c r="LD401" s="50"/>
      <c r="LE401" s="50"/>
      <c r="LF401" s="50"/>
      <c r="LG401" s="50"/>
      <c r="LH401" s="50"/>
      <c r="LI401" s="50"/>
      <c r="LJ401" s="50"/>
      <c r="LK401" s="50"/>
      <c r="LL401" s="50"/>
      <c r="LM401" s="50"/>
      <c r="LN401" s="50"/>
      <c r="LO401" s="50"/>
      <c r="LP401" s="50"/>
      <c r="LQ401" s="50"/>
      <c r="LR401" s="50"/>
      <c r="LS401" s="50"/>
      <c r="LT401" s="50"/>
      <c r="LU401" s="50"/>
      <c r="LV401" s="50"/>
      <c r="LW401" s="50"/>
      <c r="LX401" s="50"/>
      <c r="LY401" s="50"/>
      <c r="LZ401" s="50"/>
      <c r="MA401" s="50"/>
      <c r="MB401" s="50"/>
      <c r="MC401" s="50"/>
      <c r="MD401" s="50"/>
      <c r="ME401" s="50"/>
      <c r="MF401" s="50"/>
      <c r="MG401" s="50"/>
      <c r="MH401" s="50"/>
      <c r="MI401" s="50"/>
      <c r="MJ401" s="50"/>
      <c r="MK401" s="50"/>
      <c r="ML401" s="50"/>
      <c r="MM401" s="50"/>
      <c r="MN401" s="50"/>
      <c r="MO401" s="50"/>
      <c r="MP401" s="50"/>
      <c r="MQ401" s="50"/>
      <c r="MR401" s="50"/>
      <c r="MS401" s="50"/>
      <c r="MT401" s="50"/>
      <c r="MU401" s="50"/>
      <c r="MV401" s="50"/>
      <c r="MW401" s="50"/>
      <c r="MX401" s="50"/>
      <c r="MY401" s="50"/>
      <c r="MZ401" s="50"/>
      <c r="NA401" s="50"/>
      <c r="NB401" s="50"/>
      <c r="NC401" s="50"/>
      <c r="ND401" s="50"/>
      <c r="NE401" s="50"/>
      <c r="NF401" s="50"/>
      <c r="NG401" s="50"/>
      <c r="NH401" s="50"/>
      <c r="NI401" s="50"/>
      <c r="NJ401" s="50"/>
      <c r="NK401" s="50"/>
      <c r="NL401" s="50"/>
      <c r="NM401" s="50"/>
      <c r="NN401" s="50"/>
      <c r="NO401" s="50"/>
      <c r="NP401" s="50"/>
      <c r="NQ401" s="50"/>
      <c r="NR401" s="50"/>
      <c r="NS401" s="50"/>
      <c r="NT401" s="50"/>
      <c r="NU401" s="50"/>
      <c r="NV401" s="50"/>
      <c r="NW401" s="50"/>
      <c r="NX401" s="50"/>
      <c r="NY401" s="50"/>
      <c r="NZ401" s="50"/>
      <c r="OA401" s="50"/>
      <c r="OB401" s="50"/>
      <c r="OC401" s="50"/>
      <c r="OD401" s="50"/>
      <c r="OE401" s="50"/>
      <c r="OF401" s="50"/>
      <c r="OG401" s="50"/>
      <c r="OH401" s="50"/>
      <c r="OI401" s="50"/>
      <c r="OJ401" s="50"/>
      <c r="OK401" s="50"/>
      <c r="OL401" s="50"/>
      <c r="OM401" s="50"/>
      <c r="ON401" s="50"/>
      <c r="OO401" s="50"/>
      <c r="OP401" s="50"/>
      <c r="OQ401" s="50"/>
      <c r="OR401" s="50"/>
      <c r="OS401" s="50"/>
    </row>
    <row r="402" spans="1:409" ht="16.8">
      <c r="A402" s="384"/>
      <c r="B402" s="385"/>
      <c r="C402" s="385"/>
      <c r="D402" s="205"/>
      <c r="E402" s="204"/>
      <c r="F402" s="204"/>
      <c r="G402" s="162"/>
      <c r="H402" s="324"/>
      <c r="I402" s="61"/>
      <c r="J402" s="324"/>
      <c r="K402" s="386" t="s">
        <v>27</v>
      </c>
      <c r="L402" s="387"/>
      <c r="M402" s="388"/>
      <c r="N402" s="173">
        <v>0.1</v>
      </c>
      <c r="O402" s="173"/>
      <c r="P402" s="336">
        <f>P399*N402</f>
        <v>28485.390766306711</v>
      </c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  <c r="AJ402" s="50"/>
      <c r="AK402" s="50"/>
      <c r="AL402" s="50"/>
      <c r="AM402" s="50"/>
      <c r="AN402" s="50"/>
      <c r="AO402" s="50"/>
      <c r="AP402" s="50"/>
      <c r="AQ402" s="50"/>
      <c r="AR402" s="50"/>
      <c r="AS402" s="50"/>
      <c r="AT402" s="50"/>
      <c r="AU402" s="50"/>
      <c r="AV402" s="50"/>
      <c r="AW402" s="50"/>
      <c r="AX402" s="50"/>
      <c r="AY402" s="50"/>
      <c r="AZ402" s="50"/>
      <c r="BA402" s="50"/>
      <c r="BB402" s="50"/>
      <c r="BC402" s="50"/>
      <c r="BD402" s="50"/>
      <c r="BE402" s="50"/>
      <c r="BF402" s="50"/>
      <c r="BG402" s="50"/>
      <c r="BH402" s="50"/>
      <c r="BI402" s="50"/>
      <c r="BJ402" s="50"/>
      <c r="BK402" s="50"/>
      <c r="BL402" s="50"/>
      <c r="BM402" s="50"/>
      <c r="BN402" s="50"/>
      <c r="BO402" s="50"/>
      <c r="BP402" s="50"/>
      <c r="BQ402" s="50"/>
      <c r="BR402" s="50"/>
      <c r="BS402" s="50"/>
      <c r="BT402" s="50"/>
      <c r="BU402" s="50"/>
      <c r="BV402" s="50"/>
      <c r="BW402" s="50"/>
      <c r="BX402" s="50"/>
      <c r="BY402" s="50"/>
      <c r="BZ402" s="50"/>
      <c r="CA402" s="50"/>
      <c r="CB402" s="50"/>
      <c r="CC402" s="50"/>
      <c r="CD402" s="50"/>
      <c r="CE402" s="50"/>
      <c r="CF402" s="50"/>
      <c r="CG402" s="50"/>
      <c r="CH402" s="50"/>
      <c r="CI402" s="50"/>
      <c r="CJ402" s="50"/>
      <c r="CK402" s="50"/>
      <c r="CL402" s="50"/>
      <c r="CM402" s="50"/>
      <c r="CN402" s="50"/>
      <c r="CO402" s="50"/>
      <c r="CP402" s="50"/>
      <c r="CQ402" s="50"/>
      <c r="CR402" s="50"/>
      <c r="CS402" s="50"/>
      <c r="CT402" s="50"/>
      <c r="CU402" s="50"/>
      <c r="CV402" s="50"/>
      <c r="CW402" s="50"/>
      <c r="CX402" s="50"/>
      <c r="CY402" s="50"/>
      <c r="CZ402" s="50"/>
      <c r="DA402" s="50"/>
      <c r="DB402" s="50"/>
      <c r="DC402" s="50"/>
      <c r="DD402" s="50"/>
      <c r="DE402" s="50"/>
      <c r="DF402" s="50"/>
      <c r="DG402" s="50"/>
      <c r="DH402" s="50"/>
      <c r="DI402" s="50"/>
      <c r="DJ402" s="50"/>
      <c r="DK402" s="50"/>
      <c r="DL402" s="50"/>
      <c r="DM402" s="50"/>
      <c r="DN402" s="50"/>
      <c r="DO402" s="50"/>
      <c r="DP402" s="50"/>
      <c r="DQ402" s="50"/>
      <c r="DR402" s="50"/>
      <c r="DS402" s="50"/>
      <c r="DT402" s="50"/>
      <c r="DU402" s="50"/>
      <c r="DV402" s="50"/>
      <c r="DW402" s="50"/>
      <c r="DX402" s="50"/>
      <c r="DY402" s="50"/>
      <c r="DZ402" s="50"/>
      <c r="EA402" s="50"/>
      <c r="EB402" s="50"/>
      <c r="EC402" s="50"/>
      <c r="ED402" s="50"/>
      <c r="EE402" s="50"/>
      <c r="EF402" s="50"/>
      <c r="EG402" s="50"/>
      <c r="EH402" s="50"/>
      <c r="EI402" s="50"/>
      <c r="EJ402" s="50"/>
      <c r="EK402" s="50"/>
      <c r="EL402" s="50"/>
      <c r="EM402" s="50"/>
      <c r="EN402" s="50"/>
      <c r="EO402" s="50"/>
      <c r="EP402" s="50"/>
      <c r="EQ402" s="50"/>
      <c r="ER402" s="50"/>
      <c r="ES402" s="50"/>
      <c r="ET402" s="50"/>
      <c r="EU402" s="50"/>
      <c r="EV402" s="50"/>
      <c r="EW402" s="50"/>
      <c r="EX402" s="50"/>
      <c r="EY402" s="50"/>
      <c r="EZ402" s="50"/>
      <c r="FA402" s="50"/>
      <c r="FB402" s="50"/>
      <c r="FC402" s="50"/>
      <c r="FD402" s="50"/>
      <c r="FE402" s="50"/>
      <c r="FF402" s="50"/>
      <c r="FG402" s="50"/>
      <c r="FH402" s="50"/>
      <c r="FI402" s="50"/>
      <c r="FJ402" s="50"/>
      <c r="FK402" s="50"/>
      <c r="FL402" s="50"/>
      <c r="FM402" s="50"/>
      <c r="FN402" s="50"/>
      <c r="FO402" s="50"/>
      <c r="FP402" s="50"/>
      <c r="FQ402" s="50"/>
      <c r="FR402" s="50"/>
      <c r="FS402" s="50"/>
      <c r="FT402" s="50"/>
      <c r="FU402" s="50"/>
      <c r="FV402" s="50"/>
      <c r="FW402" s="50"/>
      <c r="FX402" s="50"/>
      <c r="FY402" s="50"/>
      <c r="FZ402" s="50"/>
      <c r="GA402" s="50"/>
      <c r="GB402" s="50"/>
      <c r="GC402" s="50"/>
      <c r="GD402" s="50"/>
      <c r="GE402" s="50"/>
      <c r="GF402" s="50"/>
      <c r="GG402" s="50"/>
      <c r="GH402" s="50"/>
      <c r="GI402" s="50"/>
      <c r="GJ402" s="50"/>
      <c r="GK402" s="50"/>
      <c r="GL402" s="50"/>
      <c r="GM402" s="50"/>
      <c r="GN402" s="50"/>
      <c r="GO402" s="50"/>
      <c r="GP402" s="50"/>
      <c r="GQ402" s="50"/>
      <c r="GR402" s="50"/>
      <c r="GS402" s="50"/>
      <c r="GT402" s="50"/>
      <c r="GU402" s="50"/>
      <c r="GV402" s="50"/>
      <c r="GW402" s="50"/>
      <c r="GX402" s="50"/>
      <c r="GY402" s="50"/>
      <c r="GZ402" s="50"/>
      <c r="HA402" s="50"/>
      <c r="HB402" s="50"/>
      <c r="HC402" s="50"/>
      <c r="HD402" s="50"/>
      <c r="HE402" s="50"/>
      <c r="HF402" s="50"/>
      <c r="HG402" s="50"/>
      <c r="HH402" s="50"/>
      <c r="HI402" s="50"/>
      <c r="HJ402" s="50"/>
      <c r="HK402" s="50"/>
      <c r="HL402" s="50"/>
      <c r="HM402" s="50"/>
      <c r="HN402" s="50"/>
      <c r="HO402" s="50"/>
      <c r="HP402" s="50"/>
      <c r="HQ402" s="50"/>
      <c r="HR402" s="50"/>
      <c r="HS402" s="50"/>
      <c r="HT402" s="50"/>
      <c r="HU402" s="50"/>
      <c r="HV402" s="50"/>
      <c r="HW402" s="50"/>
      <c r="HX402" s="50"/>
      <c r="HY402" s="50"/>
      <c r="HZ402" s="50"/>
      <c r="IA402" s="50"/>
      <c r="IB402" s="50"/>
      <c r="IC402" s="50"/>
      <c r="ID402" s="50"/>
      <c r="IE402" s="50"/>
      <c r="IF402" s="50"/>
      <c r="IG402" s="50"/>
      <c r="IH402" s="50"/>
      <c r="II402" s="50"/>
      <c r="IJ402" s="50"/>
      <c r="IK402" s="50"/>
      <c r="IL402" s="50"/>
      <c r="IM402" s="50"/>
      <c r="IN402" s="50"/>
      <c r="IO402" s="50"/>
      <c r="IP402" s="50"/>
      <c r="IQ402" s="50"/>
      <c r="IR402" s="50"/>
      <c r="IS402" s="50"/>
      <c r="IT402" s="50"/>
      <c r="IU402" s="50"/>
      <c r="IV402" s="50"/>
      <c r="IW402" s="50"/>
      <c r="IX402" s="50"/>
      <c r="IY402" s="50"/>
      <c r="IZ402" s="50"/>
      <c r="JA402" s="50"/>
      <c r="JB402" s="50"/>
      <c r="JC402" s="50"/>
      <c r="JD402" s="50"/>
      <c r="JE402" s="50"/>
      <c r="JF402" s="50"/>
      <c r="JG402" s="50"/>
      <c r="JH402" s="50"/>
      <c r="JI402" s="50"/>
      <c r="JJ402" s="50"/>
      <c r="JK402" s="50"/>
      <c r="JL402" s="50"/>
      <c r="JM402" s="50"/>
      <c r="JN402" s="50"/>
      <c r="JO402" s="50"/>
      <c r="JP402" s="50"/>
      <c r="JQ402" s="50"/>
      <c r="JR402" s="50"/>
      <c r="JS402" s="50"/>
      <c r="JT402" s="50"/>
      <c r="JU402" s="50"/>
      <c r="JV402" s="50"/>
      <c r="JW402" s="50"/>
      <c r="JX402" s="50"/>
      <c r="JY402" s="50"/>
      <c r="JZ402" s="50"/>
      <c r="KA402" s="50"/>
      <c r="KB402" s="50"/>
      <c r="KC402" s="50"/>
      <c r="KD402" s="50"/>
      <c r="KE402" s="50"/>
      <c r="KF402" s="50"/>
      <c r="KG402" s="50"/>
      <c r="KH402" s="50"/>
      <c r="KI402" s="50"/>
      <c r="KJ402" s="50"/>
      <c r="KK402" s="50"/>
      <c r="KL402" s="50"/>
      <c r="KM402" s="50"/>
      <c r="KN402" s="50"/>
      <c r="KO402" s="50"/>
      <c r="KP402" s="50"/>
      <c r="KQ402" s="50"/>
      <c r="KR402" s="50"/>
      <c r="KS402" s="50"/>
      <c r="KT402" s="50"/>
      <c r="KU402" s="50"/>
      <c r="KV402" s="50"/>
      <c r="KW402" s="50"/>
      <c r="KX402" s="50"/>
      <c r="KY402" s="50"/>
      <c r="KZ402" s="50"/>
      <c r="LA402" s="50"/>
      <c r="LB402" s="50"/>
      <c r="LC402" s="50"/>
      <c r="LD402" s="50"/>
      <c r="LE402" s="50"/>
      <c r="LF402" s="50"/>
      <c r="LG402" s="50"/>
      <c r="LH402" s="50"/>
      <c r="LI402" s="50"/>
      <c r="LJ402" s="50"/>
      <c r="LK402" s="50"/>
      <c r="LL402" s="50"/>
      <c r="LM402" s="50"/>
      <c r="LN402" s="50"/>
      <c r="LO402" s="50"/>
      <c r="LP402" s="50"/>
      <c r="LQ402" s="50"/>
      <c r="LR402" s="50"/>
      <c r="LS402" s="50"/>
      <c r="LT402" s="50"/>
      <c r="LU402" s="50"/>
      <c r="LV402" s="50"/>
      <c r="LW402" s="50"/>
      <c r="LX402" s="50"/>
      <c r="LY402" s="50"/>
      <c r="LZ402" s="50"/>
      <c r="MA402" s="50"/>
      <c r="MB402" s="50"/>
      <c r="MC402" s="50"/>
      <c r="MD402" s="50"/>
      <c r="ME402" s="50"/>
      <c r="MF402" s="50"/>
      <c r="MG402" s="50"/>
      <c r="MH402" s="50"/>
      <c r="MI402" s="50"/>
      <c r="MJ402" s="50"/>
      <c r="MK402" s="50"/>
      <c r="ML402" s="50"/>
      <c r="MM402" s="50"/>
      <c r="MN402" s="50"/>
      <c r="MO402" s="50"/>
      <c r="MP402" s="50"/>
      <c r="MQ402" s="50"/>
      <c r="MR402" s="50"/>
      <c r="MS402" s="50"/>
      <c r="MT402" s="50"/>
      <c r="MU402" s="50"/>
      <c r="MV402" s="50"/>
      <c r="MW402" s="50"/>
      <c r="MX402" s="50"/>
      <c r="MY402" s="50"/>
      <c r="MZ402" s="50"/>
      <c r="NA402" s="50"/>
      <c r="NB402" s="50"/>
      <c r="NC402" s="50"/>
      <c r="ND402" s="50"/>
      <c r="NE402" s="50"/>
      <c r="NF402" s="50"/>
      <c r="NG402" s="50"/>
      <c r="NH402" s="50"/>
      <c r="NI402" s="50"/>
      <c r="NJ402" s="50"/>
      <c r="NK402" s="50"/>
      <c r="NL402" s="50"/>
      <c r="NM402" s="50"/>
      <c r="NN402" s="50"/>
      <c r="NO402" s="50"/>
      <c r="NP402" s="50"/>
      <c r="NQ402" s="50"/>
      <c r="NR402" s="50"/>
      <c r="NS402" s="50"/>
      <c r="NT402" s="50"/>
      <c r="NU402" s="50"/>
      <c r="NV402" s="50"/>
      <c r="NW402" s="50"/>
      <c r="NX402" s="50"/>
      <c r="NY402" s="50"/>
      <c r="NZ402" s="50"/>
      <c r="OA402" s="50"/>
      <c r="OB402" s="50"/>
      <c r="OC402" s="50"/>
      <c r="OD402" s="50"/>
      <c r="OE402" s="50"/>
      <c r="OF402" s="50"/>
      <c r="OG402" s="50"/>
      <c r="OH402" s="50"/>
      <c r="OI402" s="50"/>
      <c r="OJ402" s="50"/>
      <c r="OK402" s="50"/>
      <c r="OL402" s="50"/>
      <c r="OM402" s="50"/>
      <c r="ON402" s="50"/>
      <c r="OO402" s="50"/>
      <c r="OP402" s="50"/>
      <c r="OQ402" s="50"/>
      <c r="OR402" s="50"/>
      <c r="OS402" s="50"/>
    </row>
    <row r="403" spans="1:409" ht="16.8">
      <c r="A403" s="51"/>
      <c r="B403" s="206"/>
      <c r="C403" s="204"/>
      <c r="D403" s="32"/>
      <c r="E403" s="204"/>
      <c r="F403" s="204"/>
      <c r="G403" s="162"/>
      <c r="H403" s="324"/>
      <c r="I403" s="61"/>
      <c r="J403" s="324"/>
      <c r="K403" s="386" t="s">
        <v>28</v>
      </c>
      <c r="L403" s="387"/>
      <c r="M403" s="388"/>
      <c r="N403" s="173">
        <v>0.1</v>
      </c>
      <c r="O403" s="173"/>
      <c r="P403" s="336">
        <f>P399*N403</f>
        <v>28485.390766306711</v>
      </c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  <c r="AJ403" s="50"/>
      <c r="AK403" s="50"/>
      <c r="AL403" s="50"/>
      <c r="AM403" s="50"/>
      <c r="AN403" s="50"/>
      <c r="AO403" s="50"/>
      <c r="AP403" s="50"/>
      <c r="AQ403" s="50"/>
      <c r="AR403" s="50"/>
      <c r="AS403" s="50"/>
      <c r="AT403" s="50"/>
      <c r="AU403" s="50"/>
      <c r="AV403" s="50"/>
      <c r="AW403" s="50"/>
      <c r="AX403" s="50"/>
      <c r="AY403" s="50"/>
      <c r="AZ403" s="50"/>
      <c r="BA403" s="50"/>
      <c r="BB403" s="50"/>
      <c r="BC403" s="50"/>
      <c r="BD403" s="50"/>
      <c r="BE403" s="50"/>
      <c r="BF403" s="50"/>
      <c r="BG403" s="50"/>
      <c r="BH403" s="50"/>
      <c r="BI403" s="50"/>
      <c r="BJ403" s="50"/>
      <c r="BK403" s="50"/>
      <c r="BL403" s="50"/>
      <c r="BM403" s="50"/>
      <c r="BN403" s="50"/>
      <c r="BO403" s="50"/>
      <c r="BP403" s="50"/>
      <c r="BQ403" s="50"/>
      <c r="BR403" s="50"/>
      <c r="BS403" s="50"/>
      <c r="BT403" s="50"/>
      <c r="BU403" s="50"/>
      <c r="BV403" s="50"/>
      <c r="BW403" s="50"/>
      <c r="BX403" s="50"/>
      <c r="BY403" s="50"/>
      <c r="BZ403" s="50"/>
      <c r="CA403" s="50"/>
      <c r="CB403" s="50"/>
      <c r="CC403" s="50"/>
      <c r="CD403" s="50"/>
      <c r="CE403" s="50"/>
      <c r="CF403" s="50"/>
      <c r="CG403" s="50"/>
      <c r="CH403" s="50"/>
      <c r="CI403" s="50"/>
      <c r="CJ403" s="50"/>
      <c r="CK403" s="50"/>
      <c r="CL403" s="50"/>
      <c r="CM403" s="50"/>
      <c r="CN403" s="50"/>
      <c r="CO403" s="50"/>
      <c r="CP403" s="50"/>
      <c r="CQ403" s="50"/>
      <c r="CR403" s="50"/>
      <c r="CS403" s="50"/>
      <c r="CT403" s="50"/>
      <c r="CU403" s="50"/>
      <c r="CV403" s="50"/>
      <c r="CW403" s="50"/>
      <c r="CX403" s="50"/>
      <c r="CY403" s="50"/>
      <c r="CZ403" s="50"/>
      <c r="DA403" s="50"/>
      <c r="DB403" s="50"/>
      <c r="DC403" s="50"/>
      <c r="DD403" s="50"/>
      <c r="DE403" s="50"/>
      <c r="DF403" s="50"/>
      <c r="DG403" s="50"/>
      <c r="DH403" s="50"/>
      <c r="DI403" s="50"/>
      <c r="DJ403" s="50"/>
      <c r="DK403" s="50"/>
      <c r="DL403" s="50"/>
      <c r="DM403" s="50"/>
      <c r="DN403" s="50"/>
      <c r="DO403" s="50"/>
      <c r="DP403" s="50"/>
      <c r="DQ403" s="50"/>
      <c r="DR403" s="50"/>
      <c r="DS403" s="50"/>
      <c r="DT403" s="50"/>
      <c r="DU403" s="50"/>
      <c r="DV403" s="50"/>
      <c r="DW403" s="50"/>
      <c r="DX403" s="50"/>
      <c r="DY403" s="50"/>
      <c r="DZ403" s="50"/>
      <c r="EA403" s="50"/>
      <c r="EB403" s="50"/>
      <c r="EC403" s="50"/>
      <c r="ED403" s="50"/>
      <c r="EE403" s="50"/>
      <c r="EF403" s="50"/>
      <c r="EG403" s="50"/>
      <c r="EH403" s="50"/>
      <c r="EI403" s="50"/>
      <c r="EJ403" s="50"/>
      <c r="EK403" s="50"/>
      <c r="EL403" s="50"/>
      <c r="EM403" s="50"/>
      <c r="EN403" s="50"/>
      <c r="EO403" s="50"/>
      <c r="EP403" s="50"/>
      <c r="EQ403" s="50"/>
      <c r="ER403" s="50"/>
      <c r="ES403" s="50"/>
      <c r="ET403" s="50"/>
      <c r="EU403" s="50"/>
      <c r="EV403" s="50"/>
      <c r="EW403" s="50"/>
      <c r="EX403" s="50"/>
      <c r="EY403" s="50"/>
      <c r="EZ403" s="50"/>
      <c r="FA403" s="50"/>
      <c r="FB403" s="50"/>
      <c r="FC403" s="50"/>
      <c r="FD403" s="50"/>
      <c r="FE403" s="50"/>
      <c r="FF403" s="50"/>
      <c r="FG403" s="50"/>
      <c r="FH403" s="50"/>
      <c r="FI403" s="50"/>
      <c r="FJ403" s="50"/>
      <c r="FK403" s="50"/>
      <c r="FL403" s="50"/>
      <c r="FM403" s="50"/>
      <c r="FN403" s="50"/>
      <c r="FO403" s="50"/>
      <c r="FP403" s="50"/>
      <c r="FQ403" s="50"/>
      <c r="FR403" s="50"/>
      <c r="FS403" s="50"/>
      <c r="FT403" s="50"/>
      <c r="FU403" s="50"/>
      <c r="FV403" s="50"/>
      <c r="FW403" s="50"/>
      <c r="FX403" s="50"/>
      <c r="FY403" s="50"/>
      <c r="FZ403" s="50"/>
      <c r="GA403" s="50"/>
      <c r="GB403" s="50"/>
      <c r="GC403" s="50"/>
      <c r="GD403" s="50"/>
      <c r="GE403" s="50"/>
      <c r="GF403" s="50"/>
      <c r="GG403" s="50"/>
      <c r="GH403" s="50"/>
      <c r="GI403" s="50"/>
      <c r="GJ403" s="50"/>
      <c r="GK403" s="50"/>
      <c r="GL403" s="50"/>
      <c r="GM403" s="50"/>
      <c r="GN403" s="50"/>
      <c r="GO403" s="50"/>
      <c r="GP403" s="50"/>
      <c r="GQ403" s="50"/>
      <c r="GR403" s="50"/>
      <c r="GS403" s="50"/>
      <c r="GT403" s="50"/>
      <c r="GU403" s="50"/>
      <c r="GV403" s="50"/>
      <c r="GW403" s="50"/>
      <c r="GX403" s="50"/>
      <c r="GY403" s="50"/>
      <c r="GZ403" s="50"/>
      <c r="HA403" s="50"/>
      <c r="HB403" s="50"/>
      <c r="HC403" s="50"/>
      <c r="HD403" s="50"/>
      <c r="HE403" s="50"/>
      <c r="HF403" s="50"/>
      <c r="HG403" s="50"/>
      <c r="HH403" s="50"/>
      <c r="HI403" s="50"/>
      <c r="HJ403" s="50"/>
      <c r="HK403" s="50"/>
      <c r="HL403" s="50"/>
      <c r="HM403" s="50"/>
      <c r="HN403" s="50"/>
      <c r="HO403" s="50"/>
      <c r="HP403" s="50"/>
      <c r="HQ403" s="50"/>
      <c r="HR403" s="50"/>
      <c r="HS403" s="50"/>
      <c r="HT403" s="50"/>
      <c r="HU403" s="50"/>
      <c r="HV403" s="50"/>
      <c r="HW403" s="50"/>
      <c r="HX403" s="50"/>
      <c r="HY403" s="50"/>
      <c r="HZ403" s="50"/>
      <c r="IA403" s="50"/>
      <c r="IB403" s="50"/>
      <c r="IC403" s="50"/>
      <c r="ID403" s="50"/>
      <c r="IE403" s="50"/>
      <c r="IF403" s="50"/>
      <c r="IG403" s="50"/>
      <c r="IH403" s="50"/>
      <c r="II403" s="50"/>
      <c r="IJ403" s="50"/>
      <c r="IK403" s="50"/>
      <c r="IL403" s="50"/>
      <c r="IM403" s="50"/>
      <c r="IN403" s="50"/>
      <c r="IO403" s="50"/>
      <c r="IP403" s="50"/>
      <c r="IQ403" s="50"/>
      <c r="IR403" s="50"/>
      <c r="IS403" s="50"/>
      <c r="IT403" s="50"/>
      <c r="IU403" s="50"/>
      <c r="IV403" s="50"/>
      <c r="IW403" s="50"/>
      <c r="IX403" s="50"/>
      <c r="IY403" s="50"/>
      <c r="IZ403" s="50"/>
      <c r="JA403" s="50"/>
      <c r="JB403" s="50"/>
      <c r="JC403" s="50"/>
      <c r="JD403" s="50"/>
      <c r="JE403" s="50"/>
      <c r="JF403" s="50"/>
      <c r="JG403" s="50"/>
      <c r="JH403" s="50"/>
      <c r="JI403" s="50"/>
      <c r="JJ403" s="50"/>
      <c r="JK403" s="50"/>
      <c r="JL403" s="50"/>
      <c r="JM403" s="50"/>
      <c r="JN403" s="50"/>
      <c r="JO403" s="50"/>
      <c r="JP403" s="50"/>
      <c r="JQ403" s="50"/>
      <c r="JR403" s="50"/>
      <c r="JS403" s="50"/>
      <c r="JT403" s="50"/>
      <c r="JU403" s="50"/>
      <c r="JV403" s="50"/>
      <c r="JW403" s="50"/>
      <c r="JX403" s="50"/>
      <c r="JY403" s="50"/>
      <c r="JZ403" s="50"/>
      <c r="KA403" s="50"/>
      <c r="KB403" s="50"/>
      <c r="KC403" s="50"/>
      <c r="KD403" s="50"/>
      <c r="KE403" s="50"/>
      <c r="KF403" s="50"/>
      <c r="KG403" s="50"/>
      <c r="KH403" s="50"/>
      <c r="KI403" s="50"/>
      <c r="KJ403" s="50"/>
      <c r="KK403" s="50"/>
      <c r="KL403" s="50"/>
      <c r="KM403" s="50"/>
      <c r="KN403" s="50"/>
      <c r="KO403" s="50"/>
      <c r="KP403" s="50"/>
      <c r="KQ403" s="50"/>
      <c r="KR403" s="50"/>
      <c r="KS403" s="50"/>
      <c r="KT403" s="50"/>
      <c r="KU403" s="50"/>
      <c r="KV403" s="50"/>
      <c r="KW403" s="50"/>
      <c r="KX403" s="50"/>
      <c r="KY403" s="50"/>
      <c r="KZ403" s="50"/>
      <c r="LA403" s="50"/>
      <c r="LB403" s="50"/>
      <c r="LC403" s="50"/>
      <c r="LD403" s="50"/>
      <c r="LE403" s="50"/>
      <c r="LF403" s="50"/>
      <c r="LG403" s="50"/>
      <c r="LH403" s="50"/>
      <c r="LI403" s="50"/>
      <c r="LJ403" s="50"/>
      <c r="LK403" s="50"/>
      <c r="LL403" s="50"/>
      <c r="LM403" s="50"/>
      <c r="LN403" s="50"/>
      <c r="LO403" s="50"/>
      <c r="LP403" s="50"/>
      <c r="LQ403" s="50"/>
      <c r="LR403" s="50"/>
      <c r="LS403" s="50"/>
      <c r="LT403" s="50"/>
      <c r="LU403" s="50"/>
      <c r="LV403" s="50"/>
      <c r="LW403" s="50"/>
      <c r="LX403" s="50"/>
      <c r="LY403" s="50"/>
      <c r="LZ403" s="50"/>
      <c r="MA403" s="50"/>
      <c r="MB403" s="50"/>
      <c r="MC403" s="50"/>
      <c r="MD403" s="50"/>
      <c r="ME403" s="50"/>
      <c r="MF403" s="50"/>
      <c r="MG403" s="50"/>
      <c r="MH403" s="50"/>
      <c r="MI403" s="50"/>
      <c r="MJ403" s="50"/>
      <c r="MK403" s="50"/>
      <c r="ML403" s="50"/>
      <c r="MM403" s="50"/>
      <c r="MN403" s="50"/>
      <c r="MO403" s="50"/>
      <c r="MP403" s="50"/>
      <c r="MQ403" s="50"/>
      <c r="MR403" s="50"/>
      <c r="MS403" s="50"/>
      <c r="MT403" s="50"/>
      <c r="MU403" s="50"/>
      <c r="MV403" s="50"/>
      <c r="MW403" s="50"/>
      <c r="MX403" s="50"/>
      <c r="MY403" s="50"/>
      <c r="MZ403" s="50"/>
      <c r="NA403" s="50"/>
      <c r="NB403" s="50"/>
      <c r="NC403" s="50"/>
      <c r="ND403" s="50"/>
      <c r="NE403" s="50"/>
      <c r="NF403" s="50"/>
      <c r="NG403" s="50"/>
      <c r="NH403" s="50"/>
      <c r="NI403" s="50"/>
      <c r="NJ403" s="50"/>
      <c r="NK403" s="50"/>
      <c r="NL403" s="50"/>
      <c r="NM403" s="50"/>
      <c r="NN403" s="50"/>
      <c r="NO403" s="50"/>
      <c r="NP403" s="50"/>
      <c r="NQ403" s="50"/>
      <c r="NR403" s="50"/>
      <c r="NS403" s="50"/>
      <c r="NT403" s="50"/>
      <c r="NU403" s="50"/>
      <c r="NV403" s="50"/>
      <c r="NW403" s="50"/>
      <c r="NX403" s="50"/>
      <c r="NY403" s="50"/>
      <c r="NZ403" s="50"/>
      <c r="OA403" s="50"/>
      <c r="OB403" s="50"/>
      <c r="OC403" s="50"/>
      <c r="OD403" s="50"/>
      <c r="OE403" s="50"/>
      <c r="OF403" s="50"/>
      <c r="OG403" s="50"/>
      <c r="OH403" s="50"/>
      <c r="OI403" s="50"/>
      <c r="OJ403" s="50"/>
      <c r="OK403" s="50"/>
      <c r="OL403" s="50"/>
      <c r="OM403" s="50"/>
      <c r="ON403" s="50"/>
      <c r="OO403" s="50"/>
      <c r="OP403" s="50"/>
      <c r="OQ403" s="50"/>
      <c r="OR403" s="50"/>
      <c r="OS403" s="50"/>
    </row>
    <row r="404" spans="1:409" ht="16.8">
      <c r="A404" s="51"/>
      <c r="B404" s="206"/>
      <c r="C404" s="204"/>
      <c r="D404" s="32"/>
      <c r="E404" s="204"/>
      <c r="F404" s="204"/>
      <c r="G404" s="162"/>
      <c r="H404" s="324"/>
      <c r="I404" s="61"/>
      <c r="J404" s="324"/>
      <c r="K404" s="386" t="s">
        <v>29</v>
      </c>
      <c r="L404" s="387"/>
      <c r="M404" s="388"/>
      <c r="N404" s="173">
        <v>0</v>
      </c>
      <c r="O404" s="173"/>
      <c r="P404" s="336">
        <f>P399*N404</f>
        <v>0</v>
      </c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  <c r="AJ404" s="50"/>
      <c r="AK404" s="50"/>
      <c r="AL404" s="50"/>
      <c r="AM404" s="50"/>
      <c r="AN404" s="50"/>
      <c r="AO404" s="50"/>
      <c r="AP404" s="50"/>
      <c r="AQ404" s="50"/>
      <c r="AR404" s="50"/>
      <c r="AS404" s="50"/>
      <c r="AT404" s="50"/>
      <c r="AU404" s="50"/>
      <c r="AV404" s="50"/>
      <c r="AW404" s="50"/>
      <c r="AX404" s="50"/>
      <c r="AY404" s="50"/>
      <c r="AZ404" s="50"/>
      <c r="BA404" s="50"/>
      <c r="BB404" s="50"/>
      <c r="BC404" s="50"/>
      <c r="BD404" s="50"/>
      <c r="BE404" s="50"/>
      <c r="BF404" s="50"/>
      <c r="BG404" s="50"/>
      <c r="BH404" s="50"/>
      <c r="BI404" s="50"/>
      <c r="BJ404" s="50"/>
      <c r="BK404" s="50"/>
      <c r="BL404" s="50"/>
      <c r="BM404" s="50"/>
      <c r="BN404" s="50"/>
      <c r="BO404" s="50"/>
      <c r="BP404" s="50"/>
      <c r="BQ404" s="50"/>
      <c r="BR404" s="50"/>
      <c r="BS404" s="50"/>
      <c r="BT404" s="50"/>
      <c r="BU404" s="50"/>
      <c r="BV404" s="50"/>
      <c r="BW404" s="50"/>
      <c r="BX404" s="50"/>
      <c r="BY404" s="50"/>
      <c r="BZ404" s="50"/>
      <c r="CA404" s="50"/>
      <c r="CB404" s="50"/>
      <c r="CC404" s="50"/>
      <c r="CD404" s="50"/>
      <c r="CE404" s="50"/>
      <c r="CF404" s="50"/>
      <c r="CG404" s="50"/>
      <c r="CH404" s="50"/>
      <c r="CI404" s="50"/>
      <c r="CJ404" s="50"/>
      <c r="CK404" s="50"/>
      <c r="CL404" s="50"/>
      <c r="CM404" s="50"/>
      <c r="CN404" s="50"/>
      <c r="CO404" s="50"/>
      <c r="CP404" s="50"/>
      <c r="CQ404" s="50"/>
      <c r="CR404" s="50"/>
      <c r="CS404" s="50"/>
      <c r="CT404" s="50"/>
      <c r="CU404" s="50"/>
      <c r="CV404" s="50"/>
      <c r="CW404" s="50"/>
      <c r="CX404" s="50"/>
      <c r="CY404" s="50"/>
      <c r="CZ404" s="50"/>
      <c r="DA404" s="50"/>
      <c r="DB404" s="50"/>
      <c r="DC404" s="50"/>
      <c r="DD404" s="50"/>
      <c r="DE404" s="50"/>
      <c r="DF404" s="50"/>
      <c r="DG404" s="50"/>
      <c r="DH404" s="50"/>
      <c r="DI404" s="50"/>
      <c r="DJ404" s="50"/>
      <c r="DK404" s="50"/>
      <c r="DL404" s="50"/>
      <c r="DM404" s="50"/>
      <c r="DN404" s="50"/>
      <c r="DO404" s="50"/>
      <c r="DP404" s="50"/>
      <c r="DQ404" s="50"/>
      <c r="DR404" s="50"/>
      <c r="DS404" s="50"/>
      <c r="DT404" s="50"/>
      <c r="DU404" s="50"/>
      <c r="DV404" s="50"/>
      <c r="DW404" s="50"/>
      <c r="DX404" s="50"/>
      <c r="DY404" s="50"/>
      <c r="DZ404" s="50"/>
      <c r="EA404" s="50"/>
      <c r="EB404" s="50"/>
      <c r="EC404" s="50"/>
      <c r="ED404" s="50"/>
      <c r="EE404" s="50"/>
      <c r="EF404" s="50"/>
      <c r="EG404" s="50"/>
      <c r="EH404" s="50"/>
      <c r="EI404" s="50"/>
      <c r="EJ404" s="50"/>
      <c r="EK404" s="50"/>
      <c r="EL404" s="50"/>
      <c r="EM404" s="50"/>
      <c r="EN404" s="50"/>
      <c r="EO404" s="50"/>
      <c r="EP404" s="50"/>
      <c r="EQ404" s="50"/>
      <c r="ER404" s="50"/>
      <c r="ES404" s="50"/>
      <c r="ET404" s="50"/>
      <c r="EU404" s="50"/>
      <c r="EV404" s="50"/>
      <c r="EW404" s="50"/>
      <c r="EX404" s="50"/>
      <c r="EY404" s="50"/>
      <c r="EZ404" s="50"/>
      <c r="FA404" s="50"/>
      <c r="FB404" s="50"/>
      <c r="FC404" s="50"/>
      <c r="FD404" s="50"/>
      <c r="FE404" s="50"/>
      <c r="FF404" s="50"/>
      <c r="FG404" s="50"/>
      <c r="FH404" s="50"/>
      <c r="FI404" s="50"/>
      <c r="FJ404" s="50"/>
      <c r="FK404" s="50"/>
      <c r="FL404" s="50"/>
      <c r="FM404" s="50"/>
      <c r="FN404" s="50"/>
      <c r="FO404" s="50"/>
      <c r="FP404" s="50"/>
      <c r="FQ404" s="50"/>
      <c r="FR404" s="50"/>
      <c r="FS404" s="50"/>
      <c r="FT404" s="50"/>
      <c r="FU404" s="50"/>
      <c r="FV404" s="50"/>
      <c r="FW404" s="50"/>
      <c r="FX404" s="50"/>
      <c r="FY404" s="50"/>
      <c r="FZ404" s="50"/>
      <c r="GA404" s="50"/>
      <c r="GB404" s="50"/>
      <c r="GC404" s="50"/>
      <c r="GD404" s="50"/>
      <c r="GE404" s="50"/>
      <c r="GF404" s="50"/>
      <c r="GG404" s="50"/>
      <c r="GH404" s="50"/>
      <c r="GI404" s="50"/>
      <c r="GJ404" s="50"/>
      <c r="GK404" s="50"/>
      <c r="GL404" s="50"/>
      <c r="GM404" s="50"/>
      <c r="GN404" s="50"/>
      <c r="GO404" s="50"/>
      <c r="GP404" s="50"/>
      <c r="GQ404" s="50"/>
      <c r="GR404" s="50"/>
      <c r="GS404" s="50"/>
      <c r="GT404" s="50"/>
      <c r="GU404" s="50"/>
      <c r="GV404" s="50"/>
      <c r="GW404" s="50"/>
      <c r="GX404" s="50"/>
      <c r="GY404" s="50"/>
      <c r="GZ404" s="50"/>
      <c r="HA404" s="50"/>
      <c r="HB404" s="50"/>
      <c r="HC404" s="50"/>
      <c r="HD404" s="50"/>
      <c r="HE404" s="50"/>
      <c r="HF404" s="50"/>
      <c r="HG404" s="50"/>
      <c r="HH404" s="50"/>
      <c r="HI404" s="50"/>
      <c r="HJ404" s="50"/>
      <c r="HK404" s="50"/>
      <c r="HL404" s="50"/>
      <c r="HM404" s="50"/>
      <c r="HN404" s="50"/>
      <c r="HO404" s="50"/>
      <c r="HP404" s="50"/>
      <c r="HQ404" s="50"/>
      <c r="HR404" s="50"/>
      <c r="HS404" s="50"/>
      <c r="HT404" s="50"/>
      <c r="HU404" s="50"/>
      <c r="HV404" s="50"/>
      <c r="HW404" s="50"/>
      <c r="HX404" s="50"/>
      <c r="HY404" s="50"/>
      <c r="HZ404" s="50"/>
      <c r="IA404" s="50"/>
      <c r="IB404" s="50"/>
      <c r="IC404" s="50"/>
      <c r="ID404" s="50"/>
      <c r="IE404" s="50"/>
      <c r="IF404" s="50"/>
      <c r="IG404" s="50"/>
      <c r="IH404" s="50"/>
      <c r="II404" s="50"/>
      <c r="IJ404" s="50"/>
      <c r="IK404" s="50"/>
      <c r="IL404" s="50"/>
      <c r="IM404" s="50"/>
      <c r="IN404" s="50"/>
      <c r="IO404" s="50"/>
      <c r="IP404" s="50"/>
      <c r="IQ404" s="50"/>
      <c r="IR404" s="50"/>
      <c r="IS404" s="50"/>
      <c r="IT404" s="50"/>
      <c r="IU404" s="50"/>
      <c r="IV404" s="50"/>
      <c r="IW404" s="50"/>
      <c r="IX404" s="50"/>
      <c r="IY404" s="50"/>
      <c r="IZ404" s="50"/>
      <c r="JA404" s="50"/>
      <c r="JB404" s="50"/>
      <c r="JC404" s="50"/>
      <c r="JD404" s="50"/>
      <c r="JE404" s="50"/>
      <c r="JF404" s="50"/>
      <c r="JG404" s="50"/>
      <c r="JH404" s="50"/>
      <c r="JI404" s="50"/>
      <c r="JJ404" s="50"/>
      <c r="JK404" s="50"/>
      <c r="JL404" s="50"/>
      <c r="JM404" s="50"/>
      <c r="JN404" s="50"/>
      <c r="JO404" s="50"/>
      <c r="JP404" s="50"/>
      <c r="JQ404" s="50"/>
      <c r="JR404" s="50"/>
      <c r="JS404" s="50"/>
      <c r="JT404" s="50"/>
      <c r="JU404" s="50"/>
      <c r="JV404" s="50"/>
      <c r="JW404" s="50"/>
      <c r="JX404" s="50"/>
      <c r="JY404" s="50"/>
      <c r="JZ404" s="50"/>
      <c r="KA404" s="50"/>
      <c r="KB404" s="50"/>
      <c r="KC404" s="50"/>
      <c r="KD404" s="50"/>
      <c r="KE404" s="50"/>
      <c r="KF404" s="50"/>
      <c r="KG404" s="50"/>
      <c r="KH404" s="50"/>
      <c r="KI404" s="50"/>
      <c r="KJ404" s="50"/>
      <c r="KK404" s="50"/>
      <c r="KL404" s="50"/>
      <c r="KM404" s="50"/>
      <c r="KN404" s="50"/>
      <c r="KO404" s="50"/>
      <c r="KP404" s="50"/>
      <c r="KQ404" s="50"/>
      <c r="KR404" s="50"/>
      <c r="KS404" s="50"/>
      <c r="KT404" s="50"/>
      <c r="KU404" s="50"/>
      <c r="KV404" s="50"/>
      <c r="KW404" s="50"/>
      <c r="KX404" s="50"/>
      <c r="KY404" s="50"/>
      <c r="KZ404" s="50"/>
      <c r="LA404" s="50"/>
      <c r="LB404" s="50"/>
      <c r="LC404" s="50"/>
      <c r="LD404" s="50"/>
      <c r="LE404" s="50"/>
      <c r="LF404" s="50"/>
      <c r="LG404" s="50"/>
      <c r="LH404" s="50"/>
      <c r="LI404" s="50"/>
      <c r="LJ404" s="50"/>
      <c r="LK404" s="50"/>
      <c r="LL404" s="50"/>
      <c r="LM404" s="50"/>
      <c r="LN404" s="50"/>
      <c r="LO404" s="50"/>
      <c r="LP404" s="50"/>
      <c r="LQ404" s="50"/>
      <c r="LR404" s="50"/>
      <c r="LS404" s="50"/>
      <c r="LT404" s="50"/>
      <c r="LU404" s="50"/>
      <c r="LV404" s="50"/>
      <c r="LW404" s="50"/>
      <c r="LX404" s="50"/>
      <c r="LY404" s="50"/>
      <c r="LZ404" s="50"/>
      <c r="MA404" s="50"/>
      <c r="MB404" s="50"/>
      <c r="MC404" s="50"/>
      <c r="MD404" s="50"/>
      <c r="ME404" s="50"/>
      <c r="MF404" s="50"/>
      <c r="MG404" s="50"/>
      <c r="MH404" s="50"/>
      <c r="MI404" s="50"/>
      <c r="MJ404" s="50"/>
      <c r="MK404" s="50"/>
      <c r="ML404" s="50"/>
      <c r="MM404" s="50"/>
      <c r="MN404" s="50"/>
      <c r="MO404" s="50"/>
      <c r="MP404" s="50"/>
      <c r="MQ404" s="50"/>
      <c r="MR404" s="50"/>
      <c r="MS404" s="50"/>
      <c r="MT404" s="50"/>
      <c r="MU404" s="50"/>
      <c r="MV404" s="50"/>
      <c r="MW404" s="50"/>
      <c r="MX404" s="50"/>
      <c r="MY404" s="50"/>
      <c r="MZ404" s="50"/>
      <c r="NA404" s="50"/>
      <c r="NB404" s="50"/>
      <c r="NC404" s="50"/>
      <c r="ND404" s="50"/>
      <c r="NE404" s="50"/>
      <c r="NF404" s="50"/>
      <c r="NG404" s="50"/>
      <c r="NH404" s="50"/>
      <c r="NI404" s="50"/>
      <c r="NJ404" s="50"/>
      <c r="NK404" s="50"/>
      <c r="NL404" s="50"/>
      <c r="NM404" s="50"/>
      <c r="NN404" s="50"/>
      <c r="NO404" s="50"/>
      <c r="NP404" s="50"/>
      <c r="NQ404" s="50"/>
      <c r="NR404" s="50"/>
      <c r="NS404" s="50"/>
      <c r="NT404" s="50"/>
      <c r="NU404" s="50"/>
      <c r="NV404" s="50"/>
      <c r="NW404" s="50"/>
      <c r="NX404" s="50"/>
      <c r="NY404" s="50"/>
      <c r="NZ404" s="50"/>
      <c r="OA404" s="50"/>
      <c r="OB404" s="50"/>
      <c r="OC404" s="50"/>
      <c r="OD404" s="50"/>
      <c r="OE404" s="50"/>
      <c r="OF404" s="50"/>
      <c r="OG404" s="50"/>
      <c r="OH404" s="50"/>
      <c r="OI404" s="50"/>
      <c r="OJ404" s="50"/>
      <c r="OK404" s="50"/>
      <c r="OL404" s="50"/>
      <c r="OM404" s="50"/>
      <c r="ON404" s="50"/>
      <c r="OO404" s="50"/>
      <c r="OP404" s="50"/>
      <c r="OQ404" s="50"/>
      <c r="OR404" s="50"/>
      <c r="OS404" s="50"/>
    </row>
    <row r="405" spans="1:409" ht="16.8">
      <c r="A405" s="51"/>
      <c r="B405" s="206"/>
      <c r="C405" s="204"/>
      <c r="D405" s="32"/>
      <c r="E405" s="204"/>
      <c r="F405" s="204"/>
      <c r="G405" s="162"/>
      <c r="H405" s="324"/>
      <c r="I405" s="61"/>
      <c r="J405" s="324"/>
      <c r="K405" s="386" t="s">
        <v>30</v>
      </c>
      <c r="L405" s="387"/>
      <c r="M405" s="388"/>
      <c r="N405" s="173">
        <v>0.05</v>
      </c>
      <c r="O405" s="173"/>
      <c r="P405" s="336">
        <f>P399*N405</f>
        <v>14242.695383153356</v>
      </c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  <c r="AJ405" s="50"/>
      <c r="AK405" s="50"/>
      <c r="AL405" s="50"/>
      <c r="AM405" s="50"/>
      <c r="AN405" s="50"/>
      <c r="AO405" s="50"/>
      <c r="AP405" s="50"/>
      <c r="AQ405" s="50"/>
      <c r="AR405" s="50"/>
      <c r="AS405" s="50"/>
      <c r="AT405" s="50"/>
      <c r="AU405" s="50"/>
      <c r="AV405" s="50"/>
      <c r="AW405" s="50"/>
      <c r="AX405" s="50"/>
      <c r="AY405" s="50"/>
      <c r="AZ405" s="50"/>
      <c r="BA405" s="50"/>
      <c r="BB405" s="50"/>
      <c r="BC405" s="50"/>
      <c r="BD405" s="50"/>
      <c r="BE405" s="50"/>
      <c r="BF405" s="50"/>
      <c r="BG405" s="50"/>
      <c r="BH405" s="50"/>
      <c r="BI405" s="50"/>
      <c r="BJ405" s="50"/>
      <c r="BK405" s="50"/>
      <c r="BL405" s="50"/>
      <c r="BM405" s="50"/>
      <c r="BN405" s="50"/>
      <c r="BO405" s="50"/>
      <c r="BP405" s="50"/>
      <c r="BQ405" s="50"/>
      <c r="BR405" s="50"/>
      <c r="BS405" s="50"/>
      <c r="BT405" s="50"/>
      <c r="BU405" s="50"/>
      <c r="BV405" s="50"/>
      <c r="BW405" s="50"/>
      <c r="BX405" s="50"/>
      <c r="BY405" s="50"/>
      <c r="BZ405" s="50"/>
      <c r="CA405" s="50"/>
      <c r="CB405" s="50"/>
      <c r="CC405" s="50"/>
      <c r="CD405" s="50"/>
      <c r="CE405" s="50"/>
      <c r="CF405" s="50"/>
      <c r="CG405" s="50"/>
      <c r="CH405" s="50"/>
      <c r="CI405" s="50"/>
      <c r="CJ405" s="50"/>
      <c r="CK405" s="50"/>
      <c r="CL405" s="50"/>
      <c r="CM405" s="50"/>
      <c r="CN405" s="50"/>
      <c r="CO405" s="50"/>
      <c r="CP405" s="50"/>
      <c r="CQ405" s="50"/>
      <c r="CR405" s="50"/>
      <c r="CS405" s="50"/>
      <c r="CT405" s="50"/>
      <c r="CU405" s="50"/>
      <c r="CV405" s="50"/>
      <c r="CW405" s="50"/>
      <c r="CX405" s="50"/>
      <c r="CY405" s="50"/>
      <c r="CZ405" s="50"/>
      <c r="DA405" s="50"/>
      <c r="DB405" s="50"/>
      <c r="DC405" s="50"/>
      <c r="DD405" s="50"/>
      <c r="DE405" s="50"/>
      <c r="DF405" s="50"/>
      <c r="DG405" s="50"/>
      <c r="DH405" s="50"/>
      <c r="DI405" s="50"/>
      <c r="DJ405" s="50"/>
      <c r="DK405" s="50"/>
      <c r="DL405" s="50"/>
      <c r="DM405" s="50"/>
      <c r="DN405" s="50"/>
      <c r="DO405" s="50"/>
      <c r="DP405" s="50"/>
      <c r="DQ405" s="50"/>
      <c r="DR405" s="50"/>
      <c r="DS405" s="50"/>
      <c r="DT405" s="50"/>
      <c r="DU405" s="50"/>
      <c r="DV405" s="50"/>
      <c r="DW405" s="50"/>
      <c r="DX405" s="50"/>
      <c r="DY405" s="50"/>
      <c r="DZ405" s="50"/>
      <c r="EA405" s="50"/>
      <c r="EB405" s="50"/>
      <c r="EC405" s="50"/>
      <c r="ED405" s="50"/>
      <c r="EE405" s="50"/>
      <c r="EF405" s="50"/>
      <c r="EG405" s="50"/>
      <c r="EH405" s="50"/>
      <c r="EI405" s="50"/>
      <c r="EJ405" s="50"/>
      <c r="EK405" s="50"/>
      <c r="EL405" s="50"/>
      <c r="EM405" s="50"/>
      <c r="EN405" s="50"/>
      <c r="EO405" s="50"/>
      <c r="EP405" s="50"/>
      <c r="EQ405" s="50"/>
      <c r="ER405" s="50"/>
      <c r="ES405" s="50"/>
      <c r="ET405" s="50"/>
      <c r="EU405" s="50"/>
      <c r="EV405" s="50"/>
      <c r="EW405" s="50"/>
      <c r="EX405" s="50"/>
      <c r="EY405" s="50"/>
      <c r="EZ405" s="50"/>
      <c r="FA405" s="50"/>
      <c r="FB405" s="50"/>
      <c r="FC405" s="50"/>
      <c r="FD405" s="50"/>
      <c r="FE405" s="50"/>
      <c r="FF405" s="50"/>
      <c r="FG405" s="50"/>
      <c r="FH405" s="50"/>
      <c r="FI405" s="50"/>
      <c r="FJ405" s="50"/>
      <c r="FK405" s="50"/>
      <c r="FL405" s="50"/>
      <c r="FM405" s="50"/>
      <c r="FN405" s="50"/>
      <c r="FO405" s="50"/>
      <c r="FP405" s="50"/>
      <c r="FQ405" s="50"/>
      <c r="FR405" s="50"/>
      <c r="FS405" s="50"/>
      <c r="FT405" s="50"/>
      <c r="FU405" s="50"/>
      <c r="FV405" s="50"/>
      <c r="FW405" s="50"/>
      <c r="FX405" s="50"/>
      <c r="FY405" s="50"/>
      <c r="FZ405" s="50"/>
      <c r="GA405" s="50"/>
      <c r="GB405" s="50"/>
      <c r="GC405" s="50"/>
      <c r="GD405" s="50"/>
      <c r="GE405" s="50"/>
      <c r="GF405" s="50"/>
      <c r="GG405" s="50"/>
      <c r="GH405" s="50"/>
      <c r="GI405" s="50"/>
      <c r="GJ405" s="50"/>
      <c r="GK405" s="50"/>
      <c r="GL405" s="50"/>
      <c r="GM405" s="50"/>
      <c r="GN405" s="50"/>
      <c r="GO405" s="50"/>
      <c r="GP405" s="50"/>
      <c r="GQ405" s="50"/>
      <c r="GR405" s="50"/>
      <c r="GS405" s="50"/>
      <c r="GT405" s="50"/>
      <c r="GU405" s="50"/>
      <c r="GV405" s="50"/>
      <c r="GW405" s="50"/>
      <c r="GX405" s="50"/>
      <c r="GY405" s="50"/>
      <c r="GZ405" s="50"/>
      <c r="HA405" s="50"/>
      <c r="HB405" s="50"/>
      <c r="HC405" s="50"/>
      <c r="HD405" s="50"/>
      <c r="HE405" s="50"/>
      <c r="HF405" s="50"/>
      <c r="HG405" s="50"/>
      <c r="HH405" s="50"/>
      <c r="HI405" s="50"/>
      <c r="HJ405" s="50"/>
      <c r="HK405" s="50"/>
      <c r="HL405" s="50"/>
      <c r="HM405" s="50"/>
      <c r="HN405" s="50"/>
      <c r="HO405" s="50"/>
      <c r="HP405" s="50"/>
      <c r="HQ405" s="50"/>
      <c r="HR405" s="50"/>
      <c r="HS405" s="50"/>
      <c r="HT405" s="50"/>
      <c r="HU405" s="50"/>
      <c r="HV405" s="50"/>
      <c r="HW405" s="50"/>
      <c r="HX405" s="50"/>
      <c r="HY405" s="50"/>
      <c r="HZ405" s="50"/>
      <c r="IA405" s="50"/>
      <c r="IB405" s="50"/>
      <c r="IC405" s="50"/>
      <c r="ID405" s="50"/>
      <c r="IE405" s="50"/>
      <c r="IF405" s="50"/>
      <c r="IG405" s="50"/>
      <c r="IH405" s="50"/>
      <c r="II405" s="50"/>
      <c r="IJ405" s="50"/>
      <c r="IK405" s="50"/>
      <c r="IL405" s="50"/>
      <c r="IM405" s="50"/>
      <c r="IN405" s="50"/>
      <c r="IO405" s="50"/>
      <c r="IP405" s="50"/>
      <c r="IQ405" s="50"/>
      <c r="IR405" s="50"/>
      <c r="IS405" s="50"/>
      <c r="IT405" s="50"/>
      <c r="IU405" s="50"/>
      <c r="IV405" s="50"/>
      <c r="IW405" s="50"/>
      <c r="IX405" s="50"/>
      <c r="IY405" s="50"/>
      <c r="IZ405" s="50"/>
      <c r="JA405" s="50"/>
      <c r="JB405" s="50"/>
      <c r="JC405" s="50"/>
      <c r="JD405" s="50"/>
      <c r="JE405" s="50"/>
      <c r="JF405" s="50"/>
      <c r="JG405" s="50"/>
      <c r="JH405" s="50"/>
      <c r="JI405" s="50"/>
      <c r="JJ405" s="50"/>
      <c r="JK405" s="50"/>
      <c r="JL405" s="50"/>
      <c r="JM405" s="50"/>
      <c r="JN405" s="50"/>
      <c r="JO405" s="50"/>
      <c r="JP405" s="50"/>
      <c r="JQ405" s="50"/>
      <c r="JR405" s="50"/>
      <c r="JS405" s="50"/>
      <c r="JT405" s="50"/>
      <c r="JU405" s="50"/>
      <c r="JV405" s="50"/>
      <c r="JW405" s="50"/>
      <c r="JX405" s="50"/>
      <c r="JY405" s="50"/>
      <c r="JZ405" s="50"/>
      <c r="KA405" s="50"/>
      <c r="KB405" s="50"/>
      <c r="KC405" s="50"/>
      <c r="KD405" s="50"/>
      <c r="KE405" s="50"/>
      <c r="KF405" s="50"/>
      <c r="KG405" s="50"/>
      <c r="KH405" s="50"/>
      <c r="KI405" s="50"/>
      <c r="KJ405" s="50"/>
      <c r="KK405" s="50"/>
      <c r="KL405" s="50"/>
      <c r="KM405" s="50"/>
      <c r="KN405" s="50"/>
      <c r="KO405" s="50"/>
      <c r="KP405" s="50"/>
      <c r="KQ405" s="50"/>
      <c r="KR405" s="50"/>
      <c r="KS405" s="50"/>
      <c r="KT405" s="50"/>
      <c r="KU405" s="50"/>
      <c r="KV405" s="50"/>
      <c r="KW405" s="50"/>
      <c r="KX405" s="50"/>
      <c r="KY405" s="50"/>
      <c r="KZ405" s="50"/>
      <c r="LA405" s="50"/>
      <c r="LB405" s="50"/>
      <c r="LC405" s="50"/>
      <c r="LD405" s="50"/>
      <c r="LE405" s="50"/>
      <c r="LF405" s="50"/>
      <c r="LG405" s="50"/>
      <c r="LH405" s="50"/>
      <c r="LI405" s="50"/>
      <c r="LJ405" s="50"/>
      <c r="LK405" s="50"/>
      <c r="LL405" s="50"/>
      <c r="LM405" s="50"/>
      <c r="LN405" s="50"/>
      <c r="LO405" s="50"/>
      <c r="LP405" s="50"/>
      <c r="LQ405" s="50"/>
      <c r="LR405" s="50"/>
      <c r="LS405" s="50"/>
      <c r="LT405" s="50"/>
      <c r="LU405" s="50"/>
      <c r="LV405" s="50"/>
      <c r="LW405" s="50"/>
      <c r="LX405" s="50"/>
      <c r="LY405" s="50"/>
      <c r="LZ405" s="50"/>
      <c r="MA405" s="50"/>
      <c r="MB405" s="50"/>
      <c r="MC405" s="50"/>
      <c r="MD405" s="50"/>
      <c r="ME405" s="50"/>
      <c r="MF405" s="50"/>
      <c r="MG405" s="50"/>
      <c r="MH405" s="50"/>
      <c r="MI405" s="50"/>
      <c r="MJ405" s="50"/>
      <c r="MK405" s="50"/>
      <c r="ML405" s="50"/>
      <c r="MM405" s="50"/>
      <c r="MN405" s="50"/>
      <c r="MO405" s="50"/>
      <c r="MP405" s="50"/>
      <c r="MQ405" s="50"/>
      <c r="MR405" s="50"/>
      <c r="MS405" s="50"/>
      <c r="MT405" s="50"/>
      <c r="MU405" s="50"/>
      <c r="MV405" s="50"/>
      <c r="MW405" s="50"/>
      <c r="MX405" s="50"/>
      <c r="MY405" s="50"/>
      <c r="MZ405" s="50"/>
      <c r="NA405" s="50"/>
      <c r="NB405" s="50"/>
      <c r="NC405" s="50"/>
      <c r="ND405" s="50"/>
      <c r="NE405" s="50"/>
      <c r="NF405" s="50"/>
      <c r="NG405" s="50"/>
      <c r="NH405" s="50"/>
      <c r="NI405" s="50"/>
      <c r="NJ405" s="50"/>
      <c r="NK405" s="50"/>
      <c r="NL405" s="50"/>
      <c r="NM405" s="50"/>
      <c r="NN405" s="50"/>
      <c r="NO405" s="50"/>
      <c r="NP405" s="50"/>
      <c r="NQ405" s="50"/>
      <c r="NR405" s="50"/>
      <c r="NS405" s="50"/>
      <c r="NT405" s="50"/>
      <c r="NU405" s="50"/>
      <c r="NV405" s="50"/>
      <c r="NW405" s="50"/>
      <c r="NX405" s="50"/>
      <c r="NY405" s="50"/>
      <c r="NZ405" s="50"/>
      <c r="OA405" s="50"/>
      <c r="OB405" s="50"/>
      <c r="OC405" s="50"/>
      <c r="OD405" s="50"/>
      <c r="OE405" s="50"/>
      <c r="OF405" s="50"/>
      <c r="OG405" s="50"/>
      <c r="OH405" s="50"/>
      <c r="OI405" s="50"/>
      <c r="OJ405" s="50"/>
      <c r="OK405" s="50"/>
      <c r="OL405" s="50"/>
      <c r="OM405" s="50"/>
      <c r="ON405" s="50"/>
      <c r="OO405" s="50"/>
      <c r="OP405" s="50"/>
      <c r="OQ405" s="50"/>
      <c r="OR405" s="50"/>
      <c r="OS405" s="50"/>
    </row>
    <row r="406" spans="1:409" ht="17.399999999999999" thickBot="1">
      <c r="A406" s="51"/>
      <c r="B406" s="206"/>
      <c r="C406" s="204"/>
      <c r="D406" s="32"/>
      <c r="E406" s="204"/>
      <c r="F406" s="204"/>
      <c r="G406" s="162"/>
      <c r="H406" s="324"/>
      <c r="I406" s="61"/>
      <c r="J406" s="324"/>
      <c r="K406" s="52"/>
      <c r="L406" s="380"/>
      <c r="M406" s="380"/>
      <c r="N406" s="380"/>
      <c r="O406" s="381"/>
      <c r="P406" s="174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  <c r="AJ406" s="50"/>
      <c r="AK406" s="50"/>
      <c r="AL406" s="50"/>
      <c r="AM406" s="50"/>
      <c r="AN406" s="50"/>
      <c r="AO406" s="50"/>
      <c r="AP406" s="50"/>
      <c r="AQ406" s="50"/>
      <c r="AR406" s="50"/>
      <c r="AS406" s="50"/>
      <c r="AT406" s="50"/>
      <c r="AU406" s="50"/>
      <c r="AV406" s="50"/>
      <c r="AW406" s="50"/>
      <c r="AX406" s="50"/>
      <c r="AY406" s="50"/>
      <c r="AZ406" s="50"/>
      <c r="BA406" s="50"/>
      <c r="BB406" s="50"/>
      <c r="BC406" s="50"/>
      <c r="BD406" s="50"/>
      <c r="BE406" s="50"/>
      <c r="BF406" s="50"/>
      <c r="BG406" s="50"/>
      <c r="BH406" s="50"/>
      <c r="BI406" s="50"/>
      <c r="BJ406" s="50"/>
      <c r="BK406" s="50"/>
      <c r="BL406" s="50"/>
      <c r="BM406" s="50"/>
      <c r="BN406" s="50"/>
      <c r="BO406" s="50"/>
      <c r="BP406" s="50"/>
      <c r="BQ406" s="50"/>
      <c r="BR406" s="50"/>
      <c r="BS406" s="50"/>
      <c r="BT406" s="50"/>
      <c r="BU406" s="50"/>
      <c r="BV406" s="50"/>
      <c r="BW406" s="50"/>
      <c r="BX406" s="50"/>
      <c r="BY406" s="50"/>
      <c r="BZ406" s="50"/>
      <c r="CA406" s="50"/>
      <c r="CB406" s="50"/>
      <c r="CC406" s="50"/>
      <c r="CD406" s="50"/>
      <c r="CE406" s="50"/>
      <c r="CF406" s="50"/>
      <c r="CG406" s="50"/>
      <c r="CH406" s="50"/>
      <c r="CI406" s="50"/>
      <c r="CJ406" s="50"/>
      <c r="CK406" s="50"/>
      <c r="CL406" s="50"/>
      <c r="CM406" s="50"/>
      <c r="CN406" s="50"/>
      <c r="CO406" s="50"/>
      <c r="CP406" s="50"/>
      <c r="CQ406" s="50"/>
      <c r="CR406" s="50"/>
      <c r="CS406" s="50"/>
      <c r="CT406" s="50"/>
      <c r="CU406" s="50"/>
      <c r="CV406" s="50"/>
      <c r="CW406" s="50"/>
      <c r="CX406" s="50"/>
      <c r="CY406" s="50"/>
      <c r="CZ406" s="50"/>
      <c r="DA406" s="50"/>
      <c r="DB406" s="50"/>
      <c r="DC406" s="50"/>
      <c r="DD406" s="50"/>
      <c r="DE406" s="50"/>
      <c r="DF406" s="50"/>
      <c r="DG406" s="50"/>
      <c r="DH406" s="50"/>
      <c r="DI406" s="50"/>
      <c r="DJ406" s="50"/>
      <c r="DK406" s="50"/>
      <c r="DL406" s="50"/>
      <c r="DM406" s="50"/>
      <c r="DN406" s="50"/>
      <c r="DO406" s="50"/>
      <c r="DP406" s="50"/>
      <c r="DQ406" s="50"/>
      <c r="DR406" s="50"/>
      <c r="DS406" s="50"/>
      <c r="DT406" s="50"/>
      <c r="DU406" s="50"/>
      <c r="DV406" s="50"/>
      <c r="DW406" s="50"/>
      <c r="DX406" s="50"/>
      <c r="DY406" s="50"/>
      <c r="DZ406" s="50"/>
      <c r="EA406" s="50"/>
      <c r="EB406" s="50"/>
      <c r="EC406" s="50"/>
      <c r="ED406" s="50"/>
      <c r="EE406" s="50"/>
      <c r="EF406" s="50"/>
      <c r="EG406" s="50"/>
      <c r="EH406" s="50"/>
      <c r="EI406" s="50"/>
      <c r="EJ406" s="50"/>
      <c r="EK406" s="50"/>
      <c r="EL406" s="50"/>
      <c r="EM406" s="50"/>
      <c r="EN406" s="50"/>
      <c r="EO406" s="50"/>
      <c r="EP406" s="50"/>
      <c r="EQ406" s="50"/>
      <c r="ER406" s="50"/>
      <c r="ES406" s="50"/>
      <c r="ET406" s="50"/>
      <c r="EU406" s="50"/>
      <c r="EV406" s="50"/>
      <c r="EW406" s="50"/>
      <c r="EX406" s="50"/>
      <c r="EY406" s="50"/>
      <c r="EZ406" s="50"/>
      <c r="FA406" s="50"/>
      <c r="FB406" s="50"/>
      <c r="FC406" s="50"/>
      <c r="FD406" s="50"/>
      <c r="FE406" s="50"/>
      <c r="FF406" s="50"/>
      <c r="FG406" s="50"/>
      <c r="FH406" s="50"/>
      <c r="FI406" s="50"/>
      <c r="FJ406" s="50"/>
      <c r="FK406" s="50"/>
      <c r="FL406" s="50"/>
      <c r="FM406" s="50"/>
      <c r="FN406" s="50"/>
      <c r="FO406" s="50"/>
      <c r="FP406" s="50"/>
      <c r="FQ406" s="50"/>
      <c r="FR406" s="50"/>
      <c r="FS406" s="50"/>
      <c r="FT406" s="50"/>
      <c r="FU406" s="50"/>
      <c r="FV406" s="50"/>
      <c r="FW406" s="50"/>
      <c r="FX406" s="50"/>
      <c r="FY406" s="50"/>
      <c r="FZ406" s="50"/>
      <c r="GA406" s="50"/>
      <c r="GB406" s="50"/>
      <c r="GC406" s="50"/>
      <c r="GD406" s="50"/>
      <c r="GE406" s="50"/>
      <c r="GF406" s="50"/>
      <c r="GG406" s="50"/>
      <c r="GH406" s="50"/>
      <c r="GI406" s="50"/>
      <c r="GJ406" s="50"/>
      <c r="GK406" s="50"/>
      <c r="GL406" s="50"/>
      <c r="GM406" s="50"/>
      <c r="GN406" s="50"/>
      <c r="GO406" s="50"/>
      <c r="GP406" s="50"/>
      <c r="GQ406" s="50"/>
      <c r="GR406" s="50"/>
      <c r="GS406" s="50"/>
      <c r="GT406" s="50"/>
      <c r="GU406" s="50"/>
      <c r="GV406" s="50"/>
      <c r="GW406" s="50"/>
      <c r="GX406" s="50"/>
      <c r="GY406" s="50"/>
      <c r="GZ406" s="50"/>
      <c r="HA406" s="50"/>
      <c r="HB406" s="50"/>
      <c r="HC406" s="50"/>
      <c r="HD406" s="50"/>
      <c r="HE406" s="50"/>
      <c r="HF406" s="50"/>
      <c r="HG406" s="50"/>
      <c r="HH406" s="50"/>
      <c r="HI406" s="50"/>
      <c r="HJ406" s="50"/>
      <c r="HK406" s="50"/>
      <c r="HL406" s="50"/>
      <c r="HM406" s="50"/>
      <c r="HN406" s="50"/>
      <c r="HO406" s="50"/>
      <c r="HP406" s="50"/>
      <c r="HQ406" s="50"/>
      <c r="HR406" s="50"/>
      <c r="HS406" s="50"/>
      <c r="HT406" s="50"/>
      <c r="HU406" s="50"/>
      <c r="HV406" s="50"/>
      <c r="HW406" s="50"/>
      <c r="HX406" s="50"/>
      <c r="HY406" s="50"/>
      <c r="HZ406" s="50"/>
      <c r="IA406" s="50"/>
      <c r="IB406" s="50"/>
      <c r="IC406" s="50"/>
      <c r="ID406" s="50"/>
      <c r="IE406" s="50"/>
      <c r="IF406" s="50"/>
      <c r="IG406" s="50"/>
      <c r="IH406" s="50"/>
      <c r="II406" s="50"/>
      <c r="IJ406" s="50"/>
      <c r="IK406" s="50"/>
      <c r="IL406" s="50"/>
      <c r="IM406" s="50"/>
      <c r="IN406" s="50"/>
      <c r="IO406" s="50"/>
      <c r="IP406" s="50"/>
      <c r="IQ406" s="50"/>
      <c r="IR406" s="50"/>
      <c r="IS406" s="50"/>
      <c r="IT406" s="50"/>
      <c r="IU406" s="50"/>
      <c r="IV406" s="50"/>
      <c r="IW406" s="50"/>
      <c r="IX406" s="50"/>
      <c r="IY406" s="50"/>
      <c r="IZ406" s="50"/>
      <c r="JA406" s="50"/>
      <c r="JB406" s="50"/>
      <c r="JC406" s="50"/>
      <c r="JD406" s="50"/>
      <c r="JE406" s="50"/>
      <c r="JF406" s="50"/>
      <c r="JG406" s="50"/>
      <c r="JH406" s="50"/>
      <c r="JI406" s="50"/>
      <c r="JJ406" s="50"/>
      <c r="JK406" s="50"/>
      <c r="JL406" s="50"/>
      <c r="JM406" s="50"/>
      <c r="JN406" s="50"/>
      <c r="JO406" s="50"/>
      <c r="JP406" s="50"/>
      <c r="JQ406" s="50"/>
      <c r="JR406" s="50"/>
      <c r="JS406" s="50"/>
      <c r="JT406" s="50"/>
      <c r="JU406" s="50"/>
      <c r="JV406" s="50"/>
      <c r="JW406" s="50"/>
      <c r="JX406" s="50"/>
      <c r="JY406" s="50"/>
      <c r="JZ406" s="50"/>
      <c r="KA406" s="50"/>
      <c r="KB406" s="50"/>
      <c r="KC406" s="50"/>
      <c r="KD406" s="50"/>
      <c r="KE406" s="50"/>
      <c r="KF406" s="50"/>
      <c r="KG406" s="50"/>
      <c r="KH406" s="50"/>
      <c r="KI406" s="50"/>
      <c r="KJ406" s="50"/>
      <c r="KK406" s="50"/>
      <c r="KL406" s="50"/>
      <c r="KM406" s="50"/>
      <c r="KN406" s="50"/>
      <c r="KO406" s="50"/>
      <c r="KP406" s="50"/>
      <c r="KQ406" s="50"/>
      <c r="KR406" s="50"/>
      <c r="KS406" s="50"/>
      <c r="KT406" s="50"/>
      <c r="KU406" s="50"/>
      <c r="KV406" s="50"/>
      <c r="KW406" s="50"/>
      <c r="KX406" s="50"/>
      <c r="KY406" s="50"/>
      <c r="KZ406" s="50"/>
      <c r="LA406" s="50"/>
      <c r="LB406" s="50"/>
      <c r="LC406" s="50"/>
      <c r="LD406" s="50"/>
      <c r="LE406" s="50"/>
      <c r="LF406" s="50"/>
      <c r="LG406" s="50"/>
      <c r="LH406" s="50"/>
      <c r="LI406" s="50"/>
      <c r="LJ406" s="50"/>
      <c r="LK406" s="50"/>
      <c r="LL406" s="50"/>
      <c r="LM406" s="50"/>
      <c r="LN406" s="50"/>
      <c r="LO406" s="50"/>
      <c r="LP406" s="50"/>
      <c r="LQ406" s="50"/>
      <c r="LR406" s="50"/>
      <c r="LS406" s="50"/>
      <c r="LT406" s="50"/>
      <c r="LU406" s="50"/>
      <c r="LV406" s="50"/>
      <c r="LW406" s="50"/>
      <c r="LX406" s="50"/>
      <c r="LY406" s="50"/>
      <c r="LZ406" s="50"/>
      <c r="MA406" s="50"/>
      <c r="MB406" s="50"/>
      <c r="MC406" s="50"/>
      <c r="MD406" s="50"/>
      <c r="ME406" s="50"/>
      <c r="MF406" s="50"/>
      <c r="MG406" s="50"/>
      <c r="MH406" s="50"/>
      <c r="MI406" s="50"/>
      <c r="MJ406" s="50"/>
      <c r="MK406" s="50"/>
      <c r="ML406" s="50"/>
      <c r="MM406" s="50"/>
      <c r="MN406" s="50"/>
      <c r="MO406" s="50"/>
      <c r="MP406" s="50"/>
      <c r="MQ406" s="50"/>
      <c r="MR406" s="50"/>
      <c r="MS406" s="50"/>
      <c r="MT406" s="50"/>
      <c r="MU406" s="50"/>
      <c r="MV406" s="50"/>
      <c r="MW406" s="50"/>
      <c r="MX406" s="50"/>
      <c r="MY406" s="50"/>
      <c r="MZ406" s="50"/>
      <c r="NA406" s="50"/>
      <c r="NB406" s="50"/>
      <c r="NC406" s="50"/>
      <c r="ND406" s="50"/>
      <c r="NE406" s="50"/>
      <c r="NF406" s="50"/>
      <c r="NG406" s="50"/>
      <c r="NH406" s="50"/>
      <c r="NI406" s="50"/>
      <c r="NJ406" s="50"/>
      <c r="NK406" s="50"/>
      <c r="NL406" s="50"/>
      <c r="NM406" s="50"/>
      <c r="NN406" s="50"/>
      <c r="NO406" s="50"/>
      <c r="NP406" s="50"/>
      <c r="NQ406" s="50"/>
      <c r="NR406" s="50"/>
      <c r="NS406" s="50"/>
      <c r="NT406" s="50"/>
      <c r="NU406" s="50"/>
      <c r="NV406" s="50"/>
      <c r="NW406" s="50"/>
      <c r="NX406" s="50"/>
      <c r="NY406" s="50"/>
      <c r="NZ406" s="50"/>
      <c r="OA406" s="50"/>
      <c r="OB406" s="50"/>
      <c r="OC406" s="50"/>
      <c r="OD406" s="50"/>
      <c r="OE406" s="50"/>
      <c r="OF406" s="50"/>
      <c r="OG406" s="50"/>
      <c r="OH406" s="50"/>
      <c r="OI406" s="50"/>
      <c r="OJ406" s="50"/>
      <c r="OK406" s="50"/>
      <c r="OL406" s="50"/>
      <c r="OM406" s="50"/>
      <c r="ON406" s="50"/>
      <c r="OO406" s="50"/>
      <c r="OP406" s="50"/>
      <c r="OQ406" s="50"/>
      <c r="OR406" s="50"/>
      <c r="OS406" s="50"/>
    </row>
    <row r="407" spans="1:409" ht="19.8" thickBot="1">
      <c r="A407" s="207"/>
      <c r="B407" s="208"/>
      <c r="C407" s="209"/>
      <c r="D407" s="210"/>
      <c r="E407" s="211"/>
      <c r="F407" s="211"/>
      <c r="G407" s="212"/>
      <c r="H407" s="325"/>
      <c r="I407" s="213"/>
      <c r="J407" s="325"/>
      <c r="K407" s="55"/>
      <c r="L407" s="382"/>
      <c r="M407" s="382"/>
      <c r="N407" s="382"/>
      <c r="O407" s="383"/>
      <c r="P407" s="56">
        <f>SUM(P399:P405)</f>
        <v>356067.38457883388</v>
      </c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  <c r="AJ407" s="50"/>
      <c r="AK407" s="50"/>
      <c r="AL407" s="50"/>
      <c r="AM407" s="50"/>
      <c r="AN407" s="50"/>
      <c r="AO407" s="50"/>
      <c r="AP407" s="50"/>
      <c r="AQ407" s="50"/>
      <c r="AR407" s="50"/>
      <c r="AS407" s="50"/>
      <c r="AT407" s="50"/>
      <c r="AU407" s="50"/>
      <c r="AV407" s="50"/>
      <c r="AW407" s="50"/>
      <c r="AX407" s="50"/>
      <c r="AY407" s="50"/>
      <c r="AZ407" s="50"/>
      <c r="BA407" s="50"/>
      <c r="BB407" s="50"/>
      <c r="BC407" s="50"/>
      <c r="BD407" s="50"/>
      <c r="BE407" s="50"/>
      <c r="BF407" s="50"/>
      <c r="BG407" s="50"/>
      <c r="BH407" s="50"/>
      <c r="BI407" s="50"/>
      <c r="BJ407" s="50"/>
      <c r="BK407" s="50"/>
      <c r="BL407" s="50"/>
      <c r="BM407" s="50"/>
      <c r="BN407" s="50"/>
      <c r="BO407" s="50"/>
      <c r="BP407" s="50"/>
      <c r="BQ407" s="50"/>
      <c r="BR407" s="50"/>
      <c r="BS407" s="50"/>
      <c r="BT407" s="50"/>
      <c r="BU407" s="50"/>
      <c r="BV407" s="50"/>
      <c r="BW407" s="50"/>
      <c r="BX407" s="50"/>
      <c r="BY407" s="50"/>
      <c r="BZ407" s="50"/>
      <c r="CA407" s="50"/>
      <c r="CB407" s="50"/>
      <c r="CC407" s="50"/>
      <c r="CD407" s="50"/>
      <c r="CE407" s="50"/>
      <c r="CF407" s="50"/>
      <c r="CG407" s="50"/>
      <c r="CH407" s="50"/>
      <c r="CI407" s="50"/>
      <c r="CJ407" s="50"/>
      <c r="CK407" s="50"/>
      <c r="CL407" s="50"/>
      <c r="CM407" s="50"/>
      <c r="CN407" s="50"/>
      <c r="CO407" s="50"/>
      <c r="CP407" s="50"/>
      <c r="CQ407" s="50"/>
      <c r="CR407" s="50"/>
      <c r="CS407" s="50"/>
      <c r="CT407" s="50"/>
      <c r="CU407" s="50"/>
      <c r="CV407" s="50"/>
      <c r="CW407" s="50"/>
      <c r="CX407" s="50"/>
      <c r="CY407" s="50"/>
      <c r="CZ407" s="50"/>
      <c r="DA407" s="50"/>
      <c r="DB407" s="50"/>
      <c r="DC407" s="50"/>
      <c r="DD407" s="50"/>
      <c r="DE407" s="50"/>
      <c r="DF407" s="50"/>
      <c r="DG407" s="50"/>
      <c r="DH407" s="50"/>
      <c r="DI407" s="50"/>
      <c r="DJ407" s="50"/>
      <c r="DK407" s="50"/>
      <c r="DL407" s="50"/>
      <c r="DM407" s="50"/>
      <c r="DN407" s="50"/>
      <c r="DO407" s="50"/>
      <c r="DP407" s="50"/>
      <c r="DQ407" s="50"/>
      <c r="DR407" s="50"/>
      <c r="DS407" s="50"/>
      <c r="DT407" s="50"/>
      <c r="DU407" s="50"/>
      <c r="DV407" s="50"/>
      <c r="DW407" s="50"/>
      <c r="DX407" s="50"/>
      <c r="DY407" s="50"/>
      <c r="DZ407" s="50"/>
      <c r="EA407" s="50"/>
      <c r="EB407" s="50"/>
      <c r="EC407" s="50"/>
      <c r="ED407" s="50"/>
      <c r="EE407" s="50"/>
      <c r="EF407" s="50"/>
      <c r="EG407" s="50"/>
      <c r="EH407" s="50"/>
      <c r="EI407" s="50"/>
      <c r="EJ407" s="50"/>
      <c r="EK407" s="50"/>
      <c r="EL407" s="50"/>
      <c r="EM407" s="50"/>
      <c r="EN407" s="50"/>
      <c r="EO407" s="50"/>
      <c r="EP407" s="50"/>
      <c r="EQ407" s="50"/>
      <c r="ER407" s="50"/>
      <c r="ES407" s="50"/>
      <c r="ET407" s="50"/>
      <c r="EU407" s="50"/>
      <c r="EV407" s="50"/>
      <c r="EW407" s="50"/>
      <c r="EX407" s="50"/>
      <c r="EY407" s="50"/>
      <c r="EZ407" s="50"/>
      <c r="FA407" s="50"/>
      <c r="FB407" s="50"/>
      <c r="FC407" s="50"/>
      <c r="FD407" s="50"/>
      <c r="FE407" s="50"/>
      <c r="FF407" s="50"/>
      <c r="FG407" s="50"/>
      <c r="FH407" s="50"/>
      <c r="FI407" s="50"/>
      <c r="FJ407" s="50"/>
      <c r="FK407" s="50"/>
      <c r="FL407" s="50"/>
      <c r="FM407" s="50"/>
      <c r="FN407" s="50"/>
      <c r="FO407" s="50"/>
      <c r="FP407" s="50"/>
      <c r="FQ407" s="50"/>
      <c r="FR407" s="50"/>
      <c r="FS407" s="50"/>
      <c r="FT407" s="50"/>
      <c r="FU407" s="50"/>
      <c r="FV407" s="50"/>
      <c r="FW407" s="50"/>
      <c r="FX407" s="50"/>
      <c r="FY407" s="50"/>
      <c r="FZ407" s="50"/>
      <c r="GA407" s="50"/>
      <c r="GB407" s="50"/>
      <c r="GC407" s="50"/>
      <c r="GD407" s="50"/>
      <c r="GE407" s="50"/>
      <c r="GF407" s="50"/>
      <c r="GG407" s="50"/>
      <c r="GH407" s="50"/>
      <c r="GI407" s="50"/>
      <c r="GJ407" s="50"/>
      <c r="GK407" s="50"/>
      <c r="GL407" s="50"/>
      <c r="GM407" s="50"/>
      <c r="GN407" s="50"/>
      <c r="GO407" s="50"/>
      <c r="GP407" s="50"/>
      <c r="GQ407" s="50"/>
      <c r="GR407" s="50"/>
      <c r="GS407" s="50"/>
      <c r="GT407" s="50"/>
      <c r="GU407" s="50"/>
      <c r="GV407" s="50"/>
      <c r="GW407" s="50"/>
      <c r="GX407" s="50"/>
      <c r="GY407" s="50"/>
      <c r="GZ407" s="50"/>
      <c r="HA407" s="50"/>
      <c r="HB407" s="50"/>
      <c r="HC407" s="50"/>
      <c r="HD407" s="50"/>
      <c r="HE407" s="50"/>
      <c r="HF407" s="50"/>
      <c r="HG407" s="50"/>
      <c r="HH407" s="50"/>
      <c r="HI407" s="50"/>
      <c r="HJ407" s="50"/>
      <c r="HK407" s="50"/>
      <c r="HL407" s="50"/>
      <c r="HM407" s="50"/>
      <c r="HN407" s="50"/>
      <c r="HO407" s="50"/>
      <c r="HP407" s="50"/>
      <c r="HQ407" s="50"/>
      <c r="HR407" s="50"/>
      <c r="HS407" s="50"/>
      <c r="HT407" s="50"/>
      <c r="HU407" s="50"/>
      <c r="HV407" s="50"/>
      <c r="HW407" s="50"/>
      <c r="HX407" s="50"/>
      <c r="HY407" s="50"/>
      <c r="HZ407" s="50"/>
      <c r="IA407" s="50"/>
      <c r="IB407" s="50"/>
      <c r="IC407" s="50"/>
      <c r="ID407" s="50"/>
      <c r="IE407" s="50"/>
      <c r="IF407" s="50"/>
      <c r="IG407" s="50"/>
      <c r="IH407" s="50"/>
      <c r="II407" s="50"/>
      <c r="IJ407" s="50"/>
      <c r="IK407" s="50"/>
      <c r="IL407" s="50"/>
      <c r="IM407" s="50"/>
      <c r="IN407" s="50"/>
      <c r="IO407" s="50"/>
      <c r="IP407" s="50"/>
      <c r="IQ407" s="50"/>
      <c r="IR407" s="50"/>
      <c r="IS407" s="50"/>
      <c r="IT407" s="50"/>
      <c r="IU407" s="50"/>
      <c r="IV407" s="50"/>
      <c r="IW407" s="50"/>
      <c r="IX407" s="50"/>
      <c r="IY407" s="50"/>
      <c r="IZ407" s="50"/>
      <c r="JA407" s="50"/>
      <c r="JB407" s="50"/>
      <c r="JC407" s="50"/>
      <c r="JD407" s="50"/>
      <c r="JE407" s="50"/>
      <c r="JF407" s="50"/>
      <c r="JG407" s="50"/>
      <c r="JH407" s="50"/>
      <c r="JI407" s="50"/>
      <c r="JJ407" s="50"/>
      <c r="JK407" s="50"/>
      <c r="JL407" s="50"/>
      <c r="JM407" s="50"/>
      <c r="JN407" s="50"/>
      <c r="JO407" s="50"/>
      <c r="JP407" s="50"/>
      <c r="JQ407" s="50"/>
      <c r="JR407" s="50"/>
      <c r="JS407" s="50"/>
      <c r="JT407" s="50"/>
      <c r="JU407" s="50"/>
      <c r="JV407" s="50"/>
      <c r="JW407" s="50"/>
      <c r="JX407" s="50"/>
      <c r="JY407" s="50"/>
      <c r="JZ407" s="50"/>
      <c r="KA407" s="50"/>
      <c r="KB407" s="50"/>
      <c r="KC407" s="50"/>
      <c r="KD407" s="50"/>
      <c r="KE407" s="50"/>
      <c r="KF407" s="50"/>
      <c r="KG407" s="50"/>
      <c r="KH407" s="50"/>
      <c r="KI407" s="50"/>
      <c r="KJ407" s="50"/>
      <c r="KK407" s="50"/>
      <c r="KL407" s="50"/>
      <c r="KM407" s="50"/>
      <c r="KN407" s="50"/>
      <c r="KO407" s="50"/>
      <c r="KP407" s="50"/>
      <c r="KQ407" s="50"/>
      <c r="KR407" s="50"/>
      <c r="KS407" s="50"/>
      <c r="KT407" s="50"/>
      <c r="KU407" s="50"/>
      <c r="KV407" s="50"/>
      <c r="KW407" s="50"/>
      <c r="KX407" s="50"/>
      <c r="KY407" s="50"/>
      <c r="KZ407" s="50"/>
      <c r="LA407" s="50"/>
      <c r="LB407" s="50"/>
      <c r="LC407" s="50"/>
      <c r="LD407" s="50"/>
      <c r="LE407" s="50"/>
      <c r="LF407" s="50"/>
      <c r="LG407" s="50"/>
      <c r="LH407" s="50"/>
      <c r="LI407" s="50"/>
      <c r="LJ407" s="50"/>
      <c r="LK407" s="50"/>
      <c r="LL407" s="50"/>
      <c r="LM407" s="50"/>
      <c r="LN407" s="50"/>
      <c r="LO407" s="50"/>
      <c r="LP407" s="50"/>
      <c r="LQ407" s="50"/>
      <c r="LR407" s="50"/>
      <c r="LS407" s="50"/>
      <c r="LT407" s="50"/>
      <c r="LU407" s="50"/>
      <c r="LV407" s="50"/>
      <c r="LW407" s="50"/>
      <c r="LX407" s="50"/>
      <c r="LY407" s="50"/>
      <c r="LZ407" s="50"/>
      <c r="MA407" s="50"/>
      <c r="MB407" s="50"/>
      <c r="MC407" s="50"/>
      <c r="MD407" s="50"/>
      <c r="ME407" s="50"/>
      <c r="MF407" s="50"/>
      <c r="MG407" s="50"/>
      <c r="MH407" s="50"/>
      <c r="MI407" s="50"/>
      <c r="MJ407" s="50"/>
      <c r="MK407" s="50"/>
      <c r="ML407" s="50"/>
      <c r="MM407" s="50"/>
      <c r="MN407" s="50"/>
      <c r="MO407" s="50"/>
      <c r="MP407" s="50"/>
      <c r="MQ407" s="50"/>
      <c r="MR407" s="50"/>
      <c r="MS407" s="50"/>
      <c r="MT407" s="50"/>
      <c r="MU407" s="50"/>
      <c r="MV407" s="50"/>
      <c r="MW407" s="50"/>
      <c r="MX407" s="50"/>
      <c r="MY407" s="50"/>
      <c r="MZ407" s="50"/>
      <c r="NA407" s="50"/>
      <c r="NB407" s="50"/>
      <c r="NC407" s="50"/>
      <c r="ND407" s="50"/>
      <c r="NE407" s="50"/>
      <c r="NF407" s="50"/>
      <c r="NG407" s="50"/>
      <c r="NH407" s="50"/>
      <c r="NI407" s="50"/>
      <c r="NJ407" s="50"/>
      <c r="NK407" s="50"/>
      <c r="NL407" s="50"/>
      <c r="NM407" s="50"/>
      <c r="NN407" s="50"/>
      <c r="NO407" s="50"/>
      <c r="NP407" s="50"/>
      <c r="NQ407" s="50"/>
      <c r="NR407" s="50"/>
      <c r="NS407" s="50"/>
      <c r="NT407" s="50"/>
      <c r="NU407" s="50"/>
      <c r="NV407" s="50"/>
      <c r="NW407" s="50"/>
      <c r="NX407" s="50"/>
      <c r="NY407" s="50"/>
      <c r="NZ407" s="50"/>
      <c r="OA407" s="50"/>
      <c r="OB407" s="50"/>
      <c r="OC407" s="50"/>
      <c r="OD407" s="50"/>
      <c r="OE407" s="50"/>
      <c r="OF407" s="50"/>
      <c r="OG407" s="50"/>
      <c r="OH407" s="50"/>
      <c r="OI407" s="50"/>
      <c r="OJ407" s="50"/>
      <c r="OK407" s="50"/>
      <c r="OL407" s="50"/>
      <c r="OM407" s="50"/>
      <c r="ON407" s="50"/>
      <c r="OO407" s="50"/>
      <c r="OP407" s="50"/>
      <c r="OQ407" s="50"/>
      <c r="OR407" s="50"/>
      <c r="OS407" s="50"/>
    </row>
    <row r="408" spans="1:409" s="33" customFormat="1" ht="16.8">
      <c r="A408" s="34" t="str">
        <f>IF(F408&lt;&gt;"",1+MAX(#REF!),"")</f>
        <v/>
      </c>
      <c r="B408" s="53"/>
      <c r="C408" s="54"/>
      <c r="D408" s="57"/>
      <c r="E408" s="58"/>
      <c r="F408" s="59"/>
      <c r="G408" s="162"/>
      <c r="H408" s="324"/>
      <c r="I408" s="61"/>
      <c r="J408" s="324"/>
      <c r="K408" s="175">
        <f>SUM(K26:K407)</f>
        <v>3028.835045339024</v>
      </c>
      <c r="L408" s="244" t="s">
        <v>149</v>
      </c>
      <c r="M408" s="60"/>
      <c r="N408" s="62"/>
      <c r="O408" s="62"/>
      <c r="P408" s="32"/>
      <c r="Q408" s="32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  <c r="AG408" s="30"/>
      <c r="AH408" s="30"/>
      <c r="AI408" s="30"/>
      <c r="AJ408" s="30"/>
      <c r="AK408" s="30"/>
      <c r="AL408" s="30"/>
      <c r="AM408" s="30"/>
      <c r="AN408" s="30"/>
      <c r="AO408" s="30"/>
      <c r="AP408" s="30"/>
      <c r="AQ408" s="30"/>
      <c r="AR408" s="30"/>
      <c r="AS408" s="30"/>
      <c r="AT408" s="30"/>
      <c r="AU408" s="30"/>
      <c r="AV408" s="30"/>
      <c r="AW408" s="30"/>
      <c r="AX408" s="30"/>
      <c r="AY408" s="30"/>
      <c r="AZ408" s="30"/>
      <c r="BA408" s="30"/>
      <c r="BB408" s="30"/>
      <c r="BC408" s="30"/>
      <c r="BD408" s="30"/>
      <c r="BE408" s="30"/>
      <c r="BF408" s="30"/>
      <c r="BG408" s="30"/>
      <c r="BH408" s="30"/>
      <c r="BI408" s="30"/>
      <c r="BJ408" s="30"/>
      <c r="BK408" s="30"/>
      <c r="BL408" s="30"/>
      <c r="BM408" s="30"/>
      <c r="BN408" s="30"/>
      <c r="BO408" s="30"/>
      <c r="BP408" s="30"/>
      <c r="BQ408" s="30"/>
      <c r="BR408" s="30"/>
      <c r="BS408" s="30"/>
      <c r="BT408" s="30"/>
      <c r="BU408" s="30"/>
      <c r="BV408" s="30"/>
      <c r="BW408" s="30"/>
      <c r="BX408" s="30"/>
      <c r="BY408" s="31"/>
      <c r="BZ408" s="31"/>
      <c r="CA408" s="31"/>
      <c r="CB408" s="31"/>
      <c r="CC408" s="31"/>
      <c r="CD408" s="31"/>
      <c r="CE408" s="31"/>
      <c r="CF408" s="31"/>
      <c r="CG408" s="31"/>
    </row>
    <row r="409" spans="1:409" s="33" customFormat="1" ht="16.8">
      <c r="A409" s="34" t="str">
        <f>IF(F409&lt;&gt;"",1+MAX($A$408:A408),"")</f>
        <v/>
      </c>
      <c r="B409" s="53"/>
      <c r="C409" s="54"/>
      <c r="D409" s="57"/>
      <c r="E409" s="58"/>
      <c r="F409" s="59"/>
      <c r="G409" s="162"/>
      <c r="H409" s="324"/>
      <c r="I409" s="61"/>
      <c r="J409" s="324"/>
      <c r="K409" s="176">
        <v>18</v>
      </c>
      <c r="L409" s="163" t="s">
        <v>116</v>
      </c>
      <c r="M409" s="60"/>
      <c r="N409" s="62"/>
      <c r="O409" s="62"/>
      <c r="P409" s="32"/>
      <c r="Q409" s="32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  <c r="AG409" s="30"/>
      <c r="AH409" s="30"/>
      <c r="AI409" s="30"/>
      <c r="AJ409" s="30"/>
      <c r="AK409" s="30"/>
      <c r="AL409" s="30"/>
      <c r="AM409" s="30"/>
      <c r="AN409" s="30"/>
      <c r="AO409" s="30"/>
      <c r="AP409" s="30"/>
      <c r="AQ409" s="30"/>
      <c r="AR409" s="30"/>
      <c r="AS409" s="30"/>
      <c r="AT409" s="30"/>
      <c r="AU409" s="30"/>
      <c r="AV409" s="30"/>
      <c r="AW409" s="30"/>
      <c r="AX409" s="30"/>
      <c r="AY409" s="30"/>
      <c r="AZ409" s="30"/>
      <c r="BA409" s="30"/>
      <c r="BB409" s="30"/>
      <c r="BC409" s="30"/>
      <c r="BD409" s="30"/>
      <c r="BE409" s="30"/>
      <c r="BF409" s="30"/>
      <c r="BG409" s="30"/>
      <c r="BH409" s="30"/>
      <c r="BI409" s="30"/>
      <c r="BJ409" s="30"/>
      <c r="BK409" s="30"/>
      <c r="BL409" s="30"/>
      <c r="BM409" s="30"/>
      <c r="BN409" s="30"/>
      <c r="BO409" s="30"/>
      <c r="BP409" s="30"/>
      <c r="BQ409" s="30"/>
      <c r="BR409" s="30"/>
      <c r="BS409" s="30"/>
      <c r="BT409" s="30"/>
      <c r="BU409" s="30"/>
      <c r="BV409" s="30"/>
      <c r="BW409" s="30"/>
      <c r="BX409" s="30"/>
      <c r="BY409" s="31"/>
      <c r="BZ409" s="31"/>
      <c r="CA409" s="31"/>
      <c r="CB409" s="31"/>
      <c r="CC409" s="31"/>
      <c r="CD409" s="31"/>
      <c r="CE409" s="31"/>
      <c r="CF409" s="31"/>
      <c r="CG409" s="31"/>
    </row>
    <row r="410" spans="1:409" s="33" customFormat="1" ht="16.8">
      <c r="A410" s="34" t="str">
        <f>IF(F410&lt;&gt;"",1+MAX($A$408:A409),"")</f>
        <v/>
      </c>
      <c r="B410" s="53"/>
      <c r="C410" s="54"/>
      <c r="D410" s="57"/>
      <c r="E410" s="58"/>
      <c r="F410" s="59"/>
      <c r="G410" s="162"/>
      <c r="H410" s="324"/>
      <c r="I410" s="61"/>
      <c r="J410" s="324"/>
      <c r="K410" s="177">
        <f>K408/K409/8</f>
        <v>21.033576703743222</v>
      </c>
      <c r="L410" s="163" t="s">
        <v>117</v>
      </c>
      <c r="M410" s="60"/>
      <c r="N410" s="62"/>
      <c r="O410" s="62"/>
      <c r="P410" s="32"/>
      <c r="Q410" s="32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  <c r="AG410" s="30"/>
      <c r="AH410" s="30"/>
      <c r="AI410" s="30"/>
      <c r="AJ410" s="30"/>
      <c r="AK410" s="30"/>
      <c r="AL410" s="30"/>
      <c r="AM410" s="30"/>
      <c r="AN410" s="30"/>
      <c r="AO410" s="30"/>
      <c r="AP410" s="30"/>
      <c r="AQ410" s="30"/>
      <c r="AR410" s="30"/>
      <c r="AS410" s="30"/>
      <c r="AT410" s="30"/>
      <c r="AU410" s="30"/>
      <c r="AV410" s="30"/>
      <c r="AW410" s="30"/>
      <c r="AX410" s="30"/>
      <c r="AY410" s="30"/>
      <c r="AZ410" s="30"/>
      <c r="BA410" s="30"/>
      <c r="BB410" s="30"/>
      <c r="BC410" s="30"/>
      <c r="BD410" s="30"/>
      <c r="BE410" s="30"/>
      <c r="BF410" s="30"/>
      <c r="BG410" s="30"/>
      <c r="BH410" s="30"/>
      <c r="BI410" s="30"/>
      <c r="BJ410" s="30"/>
      <c r="BK410" s="30"/>
      <c r="BL410" s="30"/>
      <c r="BM410" s="30"/>
      <c r="BN410" s="30"/>
      <c r="BO410" s="30"/>
      <c r="BP410" s="30"/>
      <c r="BQ410" s="30"/>
      <c r="BR410" s="30"/>
      <c r="BS410" s="30"/>
      <c r="BT410" s="30"/>
      <c r="BU410" s="30"/>
      <c r="BV410" s="30"/>
      <c r="BW410" s="30"/>
      <c r="BX410" s="30"/>
      <c r="BY410" s="31"/>
      <c r="BZ410" s="31"/>
      <c r="CA410" s="31"/>
      <c r="CB410" s="31"/>
      <c r="CC410" s="31"/>
      <c r="CD410" s="31"/>
      <c r="CE410" s="31"/>
      <c r="CF410" s="31"/>
      <c r="CG410" s="31"/>
    </row>
    <row r="411" spans="1:409" s="33" customFormat="1" ht="16.8">
      <c r="A411" s="34" t="str">
        <f>IF(F411&lt;&gt;"",1+MAX($A$408:A410),"")</f>
        <v/>
      </c>
      <c r="B411" s="53"/>
      <c r="C411" s="54"/>
      <c r="D411" s="57"/>
      <c r="E411" s="58"/>
      <c r="F411" s="59"/>
      <c r="G411" s="162"/>
      <c r="H411" s="324"/>
      <c r="I411" s="61"/>
      <c r="J411" s="324"/>
      <c r="K411" s="177">
        <f>K410/20</f>
        <v>1.0516788351871611</v>
      </c>
      <c r="L411" s="163" t="s">
        <v>118</v>
      </c>
      <c r="M411" s="60"/>
      <c r="N411" s="62"/>
      <c r="O411" s="62"/>
      <c r="P411" s="32"/>
      <c r="Q411" s="32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  <c r="AG411" s="30"/>
      <c r="AH411" s="30"/>
      <c r="AI411" s="30"/>
      <c r="AJ411" s="30"/>
      <c r="AK411" s="30"/>
      <c r="AL411" s="30"/>
      <c r="AM411" s="30"/>
      <c r="AN411" s="30"/>
      <c r="AO411" s="30"/>
      <c r="AP411" s="30"/>
      <c r="AQ411" s="30"/>
      <c r="AR411" s="30"/>
      <c r="AS411" s="30"/>
      <c r="AT411" s="30"/>
      <c r="AU411" s="30"/>
      <c r="AV411" s="30"/>
      <c r="AW411" s="30"/>
      <c r="AX411" s="30"/>
      <c r="AY411" s="30"/>
      <c r="AZ411" s="30"/>
      <c r="BA411" s="30"/>
      <c r="BB411" s="30"/>
      <c r="BC411" s="30"/>
      <c r="BD411" s="30"/>
      <c r="BE411" s="30"/>
      <c r="BF411" s="30"/>
      <c r="BG411" s="30"/>
      <c r="BH411" s="30"/>
      <c r="BI411" s="30"/>
      <c r="BJ411" s="30"/>
      <c r="BK411" s="30"/>
      <c r="BL411" s="30"/>
      <c r="BM411" s="30"/>
      <c r="BN411" s="30"/>
      <c r="BO411" s="30"/>
      <c r="BP411" s="30"/>
      <c r="BQ411" s="30"/>
      <c r="BR411" s="30"/>
      <c r="BS411" s="30"/>
      <c r="BT411" s="30"/>
      <c r="BU411" s="30"/>
      <c r="BV411" s="30"/>
      <c r="BW411" s="30"/>
      <c r="BX411" s="30"/>
      <c r="BY411" s="31"/>
      <c r="BZ411" s="31"/>
      <c r="CA411" s="31"/>
      <c r="CB411" s="31"/>
      <c r="CC411" s="31"/>
      <c r="CD411" s="31"/>
      <c r="CE411" s="31"/>
      <c r="CF411" s="31"/>
      <c r="CG411" s="31"/>
    </row>
    <row r="412" spans="1:409" s="33" customFormat="1" ht="16.8">
      <c r="A412" s="34" t="str">
        <f>IF(F412&lt;&gt;"",1+MAX($A$408:A411),"")</f>
        <v/>
      </c>
      <c r="B412" s="53"/>
      <c r="C412" s="54"/>
      <c r="D412" s="57"/>
      <c r="E412" s="58"/>
      <c r="F412" s="59"/>
      <c r="G412" s="162"/>
      <c r="H412" s="324"/>
      <c r="I412" s="61"/>
      <c r="J412" s="324"/>
      <c r="K412" s="61"/>
      <c r="L412" s="60"/>
      <c r="M412" s="60"/>
      <c r="N412" s="62"/>
      <c r="O412" s="62"/>
      <c r="P412" s="32"/>
      <c r="Q412" s="32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  <c r="AG412" s="30"/>
      <c r="AH412" s="30"/>
      <c r="AI412" s="30"/>
      <c r="AJ412" s="30"/>
      <c r="AK412" s="30"/>
      <c r="AL412" s="30"/>
      <c r="AM412" s="30"/>
      <c r="AN412" s="30"/>
      <c r="AO412" s="30"/>
      <c r="AP412" s="30"/>
      <c r="AQ412" s="30"/>
      <c r="AR412" s="30"/>
      <c r="AS412" s="30"/>
      <c r="AT412" s="30"/>
      <c r="AU412" s="30"/>
      <c r="AV412" s="30"/>
      <c r="AW412" s="30"/>
      <c r="AX412" s="30"/>
      <c r="AY412" s="30"/>
      <c r="AZ412" s="30"/>
      <c r="BA412" s="30"/>
      <c r="BB412" s="30"/>
      <c r="BC412" s="30"/>
      <c r="BD412" s="30"/>
      <c r="BE412" s="30"/>
      <c r="BF412" s="30"/>
      <c r="BG412" s="30"/>
      <c r="BH412" s="30"/>
      <c r="BI412" s="30"/>
      <c r="BJ412" s="30"/>
      <c r="BK412" s="30"/>
      <c r="BL412" s="30"/>
      <c r="BM412" s="30"/>
      <c r="BN412" s="30"/>
      <c r="BO412" s="30"/>
      <c r="BP412" s="30"/>
      <c r="BQ412" s="30"/>
      <c r="BR412" s="30"/>
      <c r="BS412" s="30"/>
      <c r="BT412" s="30"/>
      <c r="BU412" s="30"/>
      <c r="BV412" s="30"/>
      <c r="BW412" s="30"/>
      <c r="BX412" s="30"/>
      <c r="BY412" s="31"/>
      <c r="BZ412" s="31"/>
      <c r="CA412" s="31"/>
      <c r="CB412" s="31"/>
      <c r="CC412" s="31"/>
      <c r="CD412" s="31"/>
      <c r="CE412" s="31"/>
      <c r="CF412" s="31"/>
      <c r="CG412" s="31"/>
    </row>
    <row r="413" spans="1:409" s="33" customFormat="1" ht="16.8">
      <c r="A413" s="34" t="str">
        <f>IF(F413&lt;&gt;"",1+MAX($A$408:A412),"")</f>
        <v/>
      </c>
      <c r="B413" s="53"/>
      <c r="C413" s="54"/>
      <c r="D413" s="57"/>
      <c r="E413" s="58"/>
      <c r="F413" s="59"/>
      <c r="G413" s="162"/>
      <c r="H413" s="324"/>
      <c r="I413" s="61"/>
      <c r="J413" s="324"/>
      <c r="K413" s="61"/>
      <c r="L413" s="60"/>
      <c r="M413" s="60"/>
      <c r="N413" s="62"/>
      <c r="O413" s="62"/>
      <c r="P413" s="32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  <c r="AG413" s="30"/>
      <c r="AH413" s="30"/>
      <c r="AI413" s="30"/>
      <c r="AJ413" s="30"/>
      <c r="AK413" s="30"/>
      <c r="AL413" s="30"/>
      <c r="AM413" s="30"/>
      <c r="AN413" s="30"/>
      <c r="AO413" s="30"/>
      <c r="AP413" s="30"/>
      <c r="AQ413" s="30"/>
      <c r="AR413" s="30"/>
      <c r="AS413" s="30"/>
      <c r="AT413" s="30"/>
      <c r="AU413" s="30"/>
      <c r="AV413" s="30"/>
      <c r="AW413" s="30"/>
      <c r="AX413" s="30"/>
      <c r="AY413" s="30"/>
      <c r="AZ413" s="30"/>
      <c r="BA413" s="30"/>
      <c r="BB413" s="30"/>
      <c r="BC413" s="30"/>
      <c r="BD413" s="30"/>
      <c r="BE413" s="30"/>
      <c r="BF413" s="30"/>
      <c r="BG413" s="30"/>
      <c r="BH413" s="30"/>
      <c r="BI413" s="30"/>
      <c r="BJ413" s="30"/>
      <c r="BK413" s="30"/>
      <c r="BL413" s="30"/>
      <c r="BM413" s="30"/>
      <c r="BN413" s="30"/>
      <c r="BO413" s="30"/>
      <c r="BP413" s="30"/>
      <c r="BQ413" s="30"/>
      <c r="BR413" s="30"/>
      <c r="BS413" s="30"/>
      <c r="BT413" s="30"/>
      <c r="BU413" s="30"/>
      <c r="BV413" s="30"/>
      <c r="BW413" s="30"/>
      <c r="BX413" s="30"/>
      <c r="BY413" s="31"/>
      <c r="BZ413" s="31"/>
      <c r="CA413" s="31"/>
      <c r="CB413" s="31"/>
      <c r="CC413" s="31"/>
      <c r="CD413" s="31"/>
      <c r="CE413" s="31"/>
      <c r="CF413" s="31"/>
      <c r="CG413" s="31"/>
    </row>
    <row r="414" spans="1:409" s="33" customFormat="1">
      <c r="A414" s="34" t="str">
        <f>IF(F414&lt;&gt;"",1+MAX($A$408:A413),"")</f>
        <v/>
      </c>
      <c r="B414" s="53"/>
      <c r="C414" s="54"/>
      <c r="D414" s="57"/>
      <c r="E414" s="58"/>
      <c r="F414" s="59"/>
      <c r="G414" s="162"/>
      <c r="H414" s="324"/>
      <c r="I414" s="61"/>
      <c r="J414" s="324"/>
      <c r="K414" s="61"/>
      <c r="L414" s="60"/>
      <c r="M414" s="60"/>
      <c r="N414" s="62"/>
      <c r="O414" s="6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  <c r="AA414" s="32"/>
      <c r="AB414" s="32"/>
      <c r="AC414" s="32"/>
      <c r="AD414" s="32"/>
      <c r="AE414" s="32"/>
      <c r="AF414" s="32"/>
      <c r="AG414" s="32"/>
      <c r="AH414" s="32"/>
      <c r="AI414" s="32"/>
      <c r="AJ414" s="32"/>
      <c r="AK414" s="32"/>
      <c r="AL414" s="32"/>
      <c r="AM414" s="32"/>
      <c r="AN414" s="32"/>
      <c r="AO414" s="32"/>
      <c r="AP414" s="32"/>
      <c r="AQ414" s="32"/>
      <c r="AR414" s="32"/>
      <c r="AS414" s="32"/>
      <c r="AT414" s="32"/>
      <c r="AU414" s="32"/>
      <c r="AV414" s="32"/>
      <c r="AW414" s="32"/>
      <c r="AX414" s="32"/>
      <c r="AY414" s="32"/>
      <c r="AZ414" s="32"/>
      <c r="BA414" s="32"/>
      <c r="BB414" s="32"/>
      <c r="BC414" s="32"/>
      <c r="BD414" s="32"/>
      <c r="BE414" s="32"/>
      <c r="BF414" s="32"/>
      <c r="BG414" s="32"/>
      <c r="BH414" s="32"/>
      <c r="BI414" s="32"/>
      <c r="BJ414" s="32"/>
      <c r="BK414" s="32"/>
      <c r="BL414" s="32"/>
      <c r="BM414" s="32"/>
      <c r="BN414" s="32"/>
      <c r="BO414" s="32"/>
      <c r="BP414" s="32"/>
      <c r="BQ414" s="32"/>
      <c r="BR414" s="32"/>
      <c r="BS414" s="32"/>
      <c r="BT414" s="32"/>
      <c r="BU414" s="32"/>
      <c r="BV414" s="32"/>
      <c r="BW414" s="32"/>
      <c r="BX414" s="32"/>
    </row>
    <row r="415" spans="1:409" s="33" customFormat="1">
      <c r="A415" s="34" t="str">
        <f>IF(F415&lt;&gt;"",1+MAX($A$408:A414),"")</f>
        <v/>
      </c>
      <c r="B415" s="53"/>
      <c r="C415" s="54"/>
      <c r="D415" s="57"/>
      <c r="E415" s="58"/>
      <c r="F415" s="59"/>
      <c r="G415" s="162"/>
      <c r="H415" s="324"/>
      <c r="I415" s="61"/>
      <c r="J415" s="324"/>
      <c r="K415" s="61"/>
      <c r="L415" s="60"/>
      <c r="M415" s="60"/>
      <c r="N415" s="62"/>
      <c r="O415" s="6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  <c r="AA415" s="32"/>
      <c r="AB415" s="32"/>
      <c r="AC415" s="32"/>
      <c r="AD415" s="32"/>
      <c r="AE415" s="32"/>
      <c r="AF415" s="32"/>
      <c r="AG415" s="32"/>
      <c r="AH415" s="32"/>
      <c r="AI415" s="32"/>
      <c r="AJ415" s="32"/>
      <c r="AK415" s="32"/>
      <c r="AL415" s="32"/>
      <c r="AM415" s="32"/>
      <c r="AN415" s="32"/>
      <c r="AO415" s="32"/>
      <c r="AP415" s="32"/>
      <c r="AQ415" s="32"/>
      <c r="AR415" s="32"/>
      <c r="AS415" s="32"/>
      <c r="AT415" s="32"/>
      <c r="AU415" s="32"/>
      <c r="AV415" s="32"/>
      <c r="AW415" s="32"/>
      <c r="AX415" s="32"/>
      <c r="AY415" s="32"/>
      <c r="AZ415" s="32"/>
      <c r="BA415" s="32"/>
      <c r="BB415" s="32"/>
      <c r="BC415" s="32"/>
      <c r="BD415" s="32"/>
      <c r="BE415" s="32"/>
      <c r="BF415" s="32"/>
      <c r="BG415" s="32"/>
      <c r="BH415" s="32"/>
      <c r="BI415" s="32"/>
      <c r="BJ415" s="32"/>
      <c r="BK415" s="32"/>
      <c r="BL415" s="32"/>
      <c r="BM415" s="32"/>
      <c r="BN415" s="32"/>
      <c r="BO415" s="32"/>
      <c r="BP415" s="32"/>
      <c r="BQ415" s="32"/>
      <c r="BR415" s="32"/>
      <c r="BS415" s="32"/>
      <c r="BT415" s="32"/>
      <c r="BU415" s="32"/>
      <c r="BV415" s="32"/>
      <c r="BW415" s="32"/>
      <c r="BX415" s="32"/>
    </row>
    <row r="416" spans="1:409" s="33" customFormat="1">
      <c r="A416" s="34" t="str">
        <f>IF(F416&lt;&gt;"",1+MAX($A$408:A415),"")</f>
        <v/>
      </c>
      <c r="B416" s="53"/>
      <c r="C416" s="54"/>
      <c r="D416" s="57"/>
      <c r="E416" s="58"/>
      <c r="F416" s="59"/>
      <c r="G416" s="162"/>
      <c r="H416" s="324"/>
      <c r="I416" s="61"/>
      <c r="J416" s="324"/>
      <c r="K416" s="61"/>
      <c r="L416" s="60"/>
      <c r="M416" s="60"/>
      <c r="N416" s="62"/>
      <c r="O416" s="6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  <c r="AA416" s="32"/>
      <c r="AB416" s="32"/>
      <c r="AC416" s="32"/>
      <c r="AD416" s="32"/>
      <c r="AE416" s="32"/>
      <c r="AF416" s="32"/>
      <c r="AG416" s="32"/>
      <c r="AH416" s="32"/>
      <c r="AI416" s="32"/>
      <c r="AJ416" s="32"/>
      <c r="AK416" s="32"/>
      <c r="AL416" s="32"/>
      <c r="AM416" s="32"/>
      <c r="AN416" s="32"/>
      <c r="AO416" s="32"/>
      <c r="AP416" s="32"/>
      <c r="AQ416" s="32"/>
      <c r="AR416" s="32"/>
      <c r="AS416" s="32"/>
      <c r="AT416" s="32"/>
      <c r="AU416" s="32"/>
      <c r="AV416" s="32"/>
      <c r="AW416" s="32"/>
      <c r="AX416" s="32"/>
      <c r="AY416" s="32"/>
      <c r="AZ416" s="32"/>
      <c r="BA416" s="32"/>
      <c r="BB416" s="32"/>
      <c r="BC416" s="32"/>
      <c r="BD416" s="32"/>
      <c r="BE416" s="32"/>
      <c r="BF416" s="32"/>
      <c r="BG416" s="32"/>
      <c r="BH416" s="32"/>
      <c r="BI416" s="32"/>
      <c r="BJ416" s="32"/>
      <c r="BK416" s="32"/>
      <c r="BL416" s="32"/>
      <c r="BM416" s="32"/>
      <c r="BN416" s="32"/>
      <c r="BO416" s="32"/>
      <c r="BP416" s="32"/>
      <c r="BQ416" s="32"/>
      <c r="BR416" s="32"/>
      <c r="BS416" s="32"/>
      <c r="BT416" s="32"/>
      <c r="BU416" s="32"/>
      <c r="BV416" s="32"/>
      <c r="BW416" s="32"/>
      <c r="BX416" s="32"/>
    </row>
    <row r="417" spans="1:76" s="33" customFormat="1">
      <c r="A417" s="34" t="str">
        <f>IF(F417&lt;&gt;"",1+MAX($A$408:A416),"")</f>
        <v/>
      </c>
      <c r="B417" s="53"/>
      <c r="C417" s="54"/>
      <c r="D417" s="57"/>
      <c r="E417" s="58"/>
      <c r="F417" s="59"/>
      <c r="G417" s="162"/>
      <c r="H417" s="324"/>
      <c r="I417" s="61"/>
      <c r="J417" s="324"/>
      <c r="K417" s="61"/>
      <c r="L417" s="60"/>
      <c r="M417" s="60"/>
      <c r="N417" s="62"/>
      <c r="O417" s="6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  <c r="AA417" s="32"/>
      <c r="AB417" s="32"/>
      <c r="AC417" s="32"/>
      <c r="AD417" s="32"/>
      <c r="AE417" s="32"/>
      <c r="AF417" s="32"/>
      <c r="AG417" s="32"/>
      <c r="AH417" s="32"/>
      <c r="AI417" s="32"/>
      <c r="AJ417" s="32"/>
      <c r="AK417" s="32"/>
      <c r="AL417" s="32"/>
      <c r="AM417" s="32"/>
      <c r="AN417" s="32"/>
      <c r="AO417" s="32"/>
      <c r="AP417" s="32"/>
      <c r="AQ417" s="32"/>
      <c r="AR417" s="32"/>
      <c r="AS417" s="32"/>
      <c r="AT417" s="32"/>
      <c r="AU417" s="32"/>
      <c r="AV417" s="32"/>
      <c r="AW417" s="32"/>
      <c r="AX417" s="32"/>
      <c r="AY417" s="32"/>
      <c r="AZ417" s="32"/>
      <c r="BA417" s="32"/>
      <c r="BB417" s="32"/>
      <c r="BC417" s="32"/>
      <c r="BD417" s="32"/>
      <c r="BE417" s="32"/>
      <c r="BF417" s="32"/>
      <c r="BG417" s="32"/>
      <c r="BH417" s="32"/>
      <c r="BI417" s="32"/>
      <c r="BJ417" s="32"/>
      <c r="BK417" s="32"/>
      <c r="BL417" s="32"/>
      <c r="BM417" s="32"/>
      <c r="BN417" s="32"/>
      <c r="BO417" s="32"/>
      <c r="BP417" s="32"/>
      <c r="BQ417" s="32"/>
      <c r="BR417" s="32"/>
      <c r="BS417" s="32"/>
      <c r="BT417" s="32"/>
      <c r="BU417" s="32"/>
      <c r="BV417" s="32"/>
      <c r="BW417" s="32"/>
      <c r="BX417" s="32"/>
    </row>
    <row r="418" spans="1:76" s="33" customFormat="1">
      <c r="A418" s="34" t="str">
        <f>IF(F418&lt;&gt;"",1+MAX($A$408:A417),"")</f>
        <v/>
      </c>
      <c r="B418" s="53"/>
      <c r="C418" s="54"/>
      <c r="D418" s="57"/>
      <c r="E418" s="58"/>
      <c r="F418" s="59"/>
      <c r="G418" s="162"/>
      <c r="H418" s="324"/>
      <c r="I418" s="61"/>
      <c r="J418" s="324"/>
      <c r="K418" s="61"/>
      <c r="L418" s="60"/>
      <c r="M418" s="60"/>
      <c r="N418" s="62"/>
      <c r="O418" s="6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  <c r="AB418" s="32"/>
      <c r="AC418" s="32"/>
      <c r="AD418" s="32"/>
      <c r="AE418" s="32"/>
      <c r="AF418" s="32"/>
      <c r="AG418" s="32"/>
      <c r="AH418" s="32"/>
      <c r="AI418" s="32"/>
      <c r="AJ418" s="32"/>
      <c r="AK418" s="32"/>
      <c r="AL418" s="32"/>
      <c r="AM418" s="32"/>
      <c r="AN418" s="32"/>
      <c r="AO418" s="32"/>
      <c r="AP418" s="32"/>
      <c r="AQ418" s="32"/>
      <c r="AR418" s="32"/>
      <c r="AS418" s="32"/>
      <c r="AT418" s="32"/>
      <c r="AU418" s="32"/>
      <c r="AV418" s="32"/>
      <c r="AW418" s="32"/>
      <c r="AX418" s="32"/>
      <c r="AY418" s="32"/>
      <c r="AZ418" s="32"/>
      <c r="BA418" s="32"/>
      <c r="BB418" s="32"/>
      <c r="BC418" s="32"/>
      <c r="BD418" s="32"/>
      <c r="BE418" s="32"/>
      <c r="BF418" s="32"/>
      <c r="BG418" s="32"/>
      <c r="BH418" s="32"/>
      <c r="BI418" s="32"/>
      <c r="BJ418" s="32"/>
      <c r="BK418" s="32"/>
      <c r="BL418" s="32"/>
      <c r="BM418" s="32"/>
      <c r="BN418" s="32"/>
      <c r="BO418" s="32"/>
      <c r="BP418" s="32"/>
      <c r="BQ418" s="32"/>
      <c r="BR418" s="32"/>
      <c r="BS418" s="32"/>
      <c r="BT418" s="32"/>
      <c r="BU418" s="32"/>
      <c r="BV418" s="32"/>
      <c r="BW418" s="32"/>
      <c r="BX418" s="32"/>
    </row>
    <row r="419" spans="1:76" s="33" customFormat="1">
      <c r="A419" s="34" t="str">
        <f>IF(F419&lt;&gt;"",1+MAX($A$408:A418),"")</f>
        <v/>
      </c>
      <c r="B419" s="53"/>
      <c r="C419" s="54"/>
      <c r="D419" s="57"/>
      <c r="E419" s="58"/>
      <c r="F419" s="59"/>
      <c r="G419" s="162"/>
      <c r="H419" s="324"/>
      <c r="I419" s="61"/>
      <c r="J419" s="324"/>
      <c r="K419" s="61"/>
      <c r="L419" s="60"/>
      <c r="M419" s="60"/>
      <c r="N419" s="62"/>
      <c r="O419" s="6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  <c r="AA419" s="32"/>
      <c r="AB419" s="32"/>
      <c r="AC419" s="32"/>
      <c r="AD419" s="32"/>
      <c r="AE419" s="32"/>
      <c r="AF419" s="32"/>
      <c r="AG419" s="32"/>
      <c r="AH419" s="32"/>
      <c r="AI419" s="32"/>
      <c r="AJ419" s="32"/>
      <c r="AK419" s="32"/>
      <c r="AL419" s="32"/>
      <c r="AM419" s="32"/>
      <c r="AN419" s="32"/>
      <c r="AO419" s="32"/>
      <c r="AP419" s="32"/>
      <c r="AQ419" s="32"/>
      <c r="AR419" s="32"/>
      <c r="AS419" s="32"/>
      <c r="AT419" s="32"/>
      <c r="AU419" s="32"/>
      <c r="AV419" s="32"/>
      <c r="AW419" s="32"/>
      <c r="AX419" s="32"/>
      <c r="AY419" s="32"/>
      <c r="AZ419" s="32"/>
      <c r="BA419" s="32"/>
      <c r="BB419" s="32"/>
      <c r="BC419" s="32"/>
      <c r="BD419" s="32"/>
      <c r="BE419" s="32"/>
      <c r="BF419" s="32"/>
      <c r="BG419" s="32"/>
      <c r="BH419" s="32"/>
      <c r="BI419" s="32"/>
      <c r="BJ419" s="32"/>
      <c r="BK419" s="32"/>
      <c r="BL419" s="32"/>
      <c r="BM419" s="32"/>
      <c r="BN419" s="32"/>
      <c r="BO419" s="32"/>
      <c r="BP419" s="32"/>
      <c r="BQ419" s="32"/>
      <c r="BR419" s="32"/>
      <c r="BS419" s="32"/>
      <c r="BT419" s="32"/>
      <c r="BU419" s="32"/>
      <c r="BV419" s="32"/>
      <c r="BW419" s="32"/>
      <c r="BX419" s="32"/>
    </row>
    <row r="420" spans="1:76" s="33" customFormat="1">
      <c r="A420" s="34" t="str">
        <f>IF(F420&lt;&gt;"",1+MAX($A$408:A419),"")</f>
        <v/>
      </c>
      <c r="B420" s="53"/>
      <c r="C420" s="54"/>
      <c r="D420" s="57"/>
      <c r="E420" s="58"/>
      <c r="F420" s="59"/>
      <c r="G420" s="162"/>
      <c r="H420" s="324"/>
      <c r="I420" s="61"/>
      <c r="J420" s="324"/>
      <c r="K420" s="61"/>
      <c r="L420" s="60"/>
      <c r="M420" s="60"/>
      <c r="N420" s="62"/>
      <c r="O420" s="6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  <c r="AA420" s="32"/>
      <c r="AB420" s="32"/>
      <c r="AC420" s="32"/>
      <c r="AD420" s="32"/>
      <c r="AE420" s="32"/>
      <c r="AF420" s="32"/>
      <c r="AG420" s="32"/>
      <c r="AH420" s="32"/>
      <c r="AI420" s="32"/>
      <c r="AJ420" s="32"/>
      <c r="AK420" s="32"/>
      <c r="AL420" s="32"/>
      <c r="AM420" s="32"/>
      <c r="AN420" s="32"/>
      <c r="AO420" s="32"/>
      <c r="AP420" s="32"/>
      <c r="AQ420" s="32"/>
      <c r="AR420" s="32"/>
      <c r="AS420" s="32"/>
      <c r="AT420" s="32"/>
      <c r="AU420" s="32"/>
      <c r="AV420" s="32"/>
      <c r="AW420" s="32"/>
      <c r="AX420" s="32"/>
      <c r="AY420" s="32"/>
      <c r="AZ420" s="32"/>
      <c r="BA420" s="32"/>
      <c r="BB420" s="32"/>
      <c r="BC420" s="32"/>
      <c r="BD420" s="32"/>
      <c r="BE420" s="32"/>
      <c r="BF420" s="32"/>
      <c r="BG420" s="32"/>
      <c r="BH420" s="32"/>
      <c r="BI420" s="32"/>
      <c r="BJ420" s="32"/>
      <c r="BK420" s="32"/>
      <c r="BL420" s="32"/>
      <c r="BM420" s="32"/>
      <c r="BN420" s="32"/>
      <c r="BO420" s="32"/>
      <c r="BP420" s="32"/>
      <c r="BQ420" s="32"/>
      <c r="BR420" s="32"/>
      <c r="BS420" s="32"/>
      <c r="BT420" s="32"/>
      <c r="BU420" s="32"/>
      <c r="BV420" s="32"/>
      <c r="BW420" s="32"/>
      <c r="BX420" s="32"/>
    </row>
    <row r="421" spans="1:76" s="33" customFormat="1">
      <c r="A421" s="34" t="str">
        <f>IF(F421&lt;&gt;"",1+MAX($A$408:A420),"")</f>
        <v/>
      </c>
      <c r="B421" s="53"/>
      <c r="C421" s="54"/>
      <c r="D421" s="57"/>
      <c r="E421" s="58"/>
      <c r="F421" s="59"/>
      <c r="G421" s="162"/>
      <c r="H421" s="324"/>
      <c r="I421" s="61"/>
      <c r="J421" s="324"/>
      <c r="K421" s="61"/>
      <c r="L421" s="60"/>
      <c r="M421" s="62"/>
      <c r="N421" s="62"/>
      <c r="O421" s="6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  <c r="AA421" s="32"/>
      <c r="AB421" s="32"/>
      <c r="AC421" s="32"/>
      <c r="AD421" s="32"/>
      <c r="AE421" s="32"/>
      <c r="AF421" s="32"/>
      <c r="AG421" s="32"/>
      <c r="AH421" s="32"/>
      <c r="AI421" s="32"/>
      <c r="AJ421" s="32"/>
      <c r="AK421" s="32"/>
      <c r="AL421" s="32"/>
      <c r="AM421" s="32"/>
      <c r="AN421" s="32"/>
      <c r="AO421" s="32"/>
      <c r="AP421" s="32"/>
      <c r="AQ421" s="32"/>
      <c r="AR421" s="32"/>
      <c r="AS421" s="32"/>
      <c r="AT421" s="32"/>
      <c r="AU421" s="32"/>
      <c r="AV421" s="32"/>
      <c r="AW421" s="32"/>
      <c r="AX421" s="32"/>
      <c r="AY421" s="32"/>
      <c r="AZ421" s="32"/>
      <c r="BA421" s="32"/>
      <c r="BB421" s="32"/>
      <c r="BC421" s="32"/>
      <c r="BD421" s="32"/>
      <c r="BE421" s="32"/>
      <c r="BF421" s="32"/>
      <c r="BG421" s="32"/>
      <c r="BH421" s="32"/>
      <c r="BI421" s="32"/>
      <c r="BJ421" s="32"/>
      <c r="BK421" s="32"/>
      <c r="BL421" s="32"/>
      <c r="BM421" s="32"/>
      <c r="BN421" s="32"/>
      <c r="BO421" s="32"/>
      <c r="BP421" s="32"/>
      <c r="BQ421" s="32"/>
      <c r="BR421" s="32"/>
      <c r="BS421" s="32"/>
      <c r="BT421" s="32"/>
      <c r="BU421" s="32"/>
      <c r="BV421" s="32"/>
      <c r="BW421" s="32"/>
      <c r="BX421" s="32"/>
    </row>
    <row r="422" spans="1:76" s="33" customFormat="1">
      <c r="A422" s="34" t="str">
        <f>IF(F422&lt;&gt;"",1+MAX($A$408:A421),"")</f>
        <v/>
      </c>
      <c r="B422" s="53"/>
      <c r="C422" s="54"/>
      <c r="D422" s="57"/>
      <c r="E422" s="58"/>
      <c r="F422" s="59"/>
      <c r="G422" s="162"/>
      <c r="H422" s="324"/>
      <c r="I422" s="61"/>
      <c r="J422" s="324"/>
      <c r="K422" s="61"/>
      <c r="L422" s="60"/>
      <c r="M422" s="60"/>
      <c r="N422" s="62"/>
      <c r="O422" s="6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  <c r="AB422" s="32"/>
      <c r="AC422" s="32"/>
      <c r="AD422" s="32"/>
      <c r="AE422" s="32"/>
      <c r="AF422" s="32"/>
      <c r="AG422" s="32"/>
      <c r="AH422" s="32"/>
      <c r="AI422" s="32"/>
      <c r="AJ422" s="32"/>
      <c r="AK422" s="32"/>
      <c r="AL422" s="32"/>
      <c r="AM422" s="32"/>
      <c r="AN422" s="32"/>
      <c r="AO422" s="32"/>
      <c r="AP422" s="32"/>
      <c r="AQ422" s="32"/>
      <c r="AR422" s="32"/>
      <c r="AS422" s="32"/>
      <c r="AT422" s="32"/>
      <c r="AU422" s="32"/>
      <c r="AV422" s="32"/>
      <c r="AW422" s="32"/>
      <c r="AX422" s="32"/>
      <c r="AY422" s="32"/>
      <c r="AZ422" s="32"/>
      <c r="BA422" s="32"/>
      <c r="BB422" s="32"/>
      <c r="BC422" s="32"/>
      <c r="BD422" s="32"/>
      <c r="BE422" s="32"/>
      <c r="BF422" s="32"/>
      <c r="BG422" s="32"/>
      <c r="BH422" s="32"/>
      <c r="BI422" s="32"/>
      <c r="BJ422" s="32"/>
      <c r="BK422" s="32"/>
      <c r="BL422" s="32"/>
      <c r="BM422" s="32"/>
      <c r="BN422" s="32"/>
      <c r="BO422" s="32"/>
      <c r="BP422" s="32"/>
      <c r="BQ422" s="32"/>
      <c r="BR422" s="32"/>
      <c r="BS422" s="32"/>
      <c r="BT422" s="32"/>
      <c r="BU422" s="32"/>
      <c r="BV422" s="32"/>
      <c r="BW422" s="32"/>
      <c r="BX422" s="32"/>
    </row>
    <row r="423" spans="1:76" s="33" customFormat="1">
      <c r="A423" s="34" t="str">
        <f>IF(F423&lt;&gt;"",1+MAX($A$408:A422),"")</f>
        <v/>
      </c>
      <c r="B423" s="53"/>
      <c r="C423" s="54"/>
      <c r="D423" s="57"/>
      <c r="E423" s="58"/>
      <c r="F423" s="59"/>
      <c r="G423" s="162"/>
      <c r="H423" s="324"/>
      <c r="I423" s="61"/>
      <c r="J423" s="324"/>
      <c r="K423" s="61"/>
      <c r="L423" s="60"/>
      <c r="M423" s="60"/>
      <c r="N423" s="62"/>
      <c r="O423" s="6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  <c r="AB423" s="32"/>
      <c r="AC423" s="32"/>
      <c r="AD423" s="32"/>
      <c r="AE423" s="32"/>
      <c r="AF423" s="32"/>
      <c r="AG423" s="32"/>
      <c r="AH423" s="32"/>
      <c r="AI423" s="32"/>
      <c r="AJ423" s="32"/>
      <c r="AK423" s="32"/>
      <c r="AL423" s="32"/>
      <c r="AM423" s="32"/>
      <c r="AN423" s="32"/>
      <c r="AO423" s="32"/>
      <c r="AP423" s="32"/>
      <c r="AQ423" s="32"/>
      <c r="AR423" s="32"/>
      <c r="AS423" s="32"/>
      <c r="AT423" s="32"/>
      <c r="AU423" s="32"/>
      <c r="AV423" s="32"/>
      <c r="AW423" s="32"/>
      <c r="AX423" s="32"/>
      <c r="AY423" s="32"/>
      <c r="AZ423" s="32"/>
      <c r="BA423" s="32"/>
      <c r="BB423" s="32"/>
      <c r="BC423" s="32"/>
      <c r="BD423" s="32"/>
      <c r="BE423" s="32"/>
      <c r="BF423" s="32"/>
      <c r="BG423" s="32"/>
      <c r="BH423" s="32"/>
      <c r="BI423" s="32"/>
      <c r="BJ423" s="32"/>
      <c r="BK423" s="32"/>
      <c r="BL423" s="32"/>
      <c r="BM423" s="32"/>
      <c r="BN423" s="32"/>
      <c r="BO423" s="32"/>
      <c r="BP423" s="32"/>
      <c r="BQ423" s="32"/>
      <c r="BR423" s="32"/>
      <c r="BS423" s="32"/>
      <c r="BT423" s="32"/>
      <c r="BU423" s="32"/>
      <c r="BV423" s="32"/>
      <c r="BW423" s="32"/>
      <c r="BX423" s="32"/>
    </row>
    <row r="424" spans="1:76" s="33" customFormat="1">
      <c r="A424" s="34" t="str">
        <f>IF(F424&lt;&gt;"",1+MAX($A$408:A423),"")</f>
        <v/>
      </c>
      <c r="B424" s="53"/>
      <c r="C424" s="54"/>
      <c r="D424" s="57"/>
      <c r="E424" s="58"/>
      <c r="F424" s="59"/>
      <c r="G424" s="162"/>
      <c r="H424" s="324"/>
      <c r="I424" s="61"/>
      <c r="J424" s="324"/>
      <c r="K424" s="61"/>
      <c r="L424" s="60"/>
      <c r="M424" s="60"/>
      <c r="N424" s="62"/>
      <c r="O424" s="6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  <c r="AB424" s="32"/>
      <c r="AC424" s="32"/>
      <c r="AD424" s="32"/>
      <c r="AE424" s="32"/>
      <c r="AF424" s="32"/>
      <c r="AG424" s="32"/>
      <c r="AH424" s="32"/>
      <c r="AI424" s="32"/>
      <c r="AJ424" s="32"/>
      <c r="AK424" s="32"/>
      <c r="AL424" s="32"/>
      <c r="AM424" s="32"/>
      <c r="AN424" s="32"/>
      <c r="AO424" s="32"/>
      <c r="AP424" s="32"/>
      <c r="AQ424" s="32"/>
      <c r="AR424" s="32"/>
      <c r="AS424" s="32"/>
      <c r="AT424" s="32"/>
      <c r="AU424" s="32"/>
      <c r="AV424" s="32"/>
      <c r="AW424" s="32"/>
      <c r="AX424" s="32"/>
      <c r="AY424" s="32"/>
      <c r="AZ424" s="32"/>
      <c r="BA424" s="32"/>
      <c r="BB424" s="32"/>
      <c r="BC424" s="32"/>
      <c r="BD424" s="32"/>
      <c r="BE424" s="32"/>
      <c r="BF424" s="32"/>
      <c r="BG424" s="32"/>
      <c r="BH424" s="32"/>
      <c r="BI424" s="32"/>
      <c r="BJ424" s="32"/>
      <c r="BK424" s="32"/>
      <c r="BL424" s="32"/>
      <c r="BM424" s="32"/>
      <c r="BN424" s="32"/>
      <c r="BO424" s="32"/>
      <c r="BP424" s="32"/>
      <c r="BQ424" s="32"/>
      <c r="BR424" s="32"/>
      <c r="BS424" s="32"/>
      <c r="BT424" s="32"/>
      <c r="BU424" s="32"/>
      <c r="BV424" s="32"/>
      <c r="BW424" s="32"/>
      <c r="BX424" s="32"/>
    </row>
    <row r="425" spans="1:76" s="33" customFormat="1">
      <c r="A425" s="34" t="str">
        <f>IF(F425&lt;&gt;"",1+MAX($A$408:A424),"")</f>
        <v/>
      </c>
      <c r="B425" s="53"/>
      <c r="C425" s="54"/>
      <c r="D425" s="57"/>
      <c r="E425" s="58"/>
      <c r="F425" s="59"/>
      <c r="G425" s="162"/>
      <c r="H425" s="324"/>
      <c r="I425" s="61"/>
      <c r="J425" s="324"/>
      <c r="K425" s="61"/>
      <c r="L425" s="60"/>
      <c r="M425" s="60"/>
      <c r="N425" s="62"/>
      <c r="O425" s="6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  <c r="AB425" s="32"/>
      <c r="AC425" s="32"/>
      <c r="AD425" s="32"/>
      <c r="AE425" s="32"/>
      <c r="AF425" s="32"/>
      <c r="AG425" s="32"/>
      <c r="AH425" s="32"/>
      <c r="AI425" s="32"/>
      <c r="AJ425" s="32"/>
      <c r="AK425" s="32"/>
      <c r="AL425" s="32"/>
      <c r="AM425" s="32"/>
      <c r="AN425" s="32"/>
      <c r="AO425" s="32"/>
      <c r="AP425" s="32"/>
      <c r="AQ425" s="32"/>
      <c r="AR425" s="32"/>
      <c r="AS425" s="32"/>
      <c r="AT425" s="32"/>
      <c r="AU425" s="32"/>
      <c r="AV425" s="32"/>
      <c r="AW425" s="32"/>
      <c r="AX425" s="32"/>
      <c r="AY425" s="32"/>
      <c r="AZ425" s="32"/>
      <c r="BA425" s="32"/>
      <c r="BB425" s="32"/>
      <c r="BC425" s="32"/>
      <c r="BD425" s="32"/>
      <c r="BE425" s="32"/>
      <c r="BF425" s="32"/>
      <c r="BG425" s="32"/>
      <c r="BH425" s="32"/>
      <c r="BI425" s="32"/>
      <c r="BJ425" s="32"/>
      <c r="BK425" s="32"/>
      <c r="BL425" s="32"/>
      <c r="BM425" s="32"/>
      <c r="BN425" s="32"/>
      <c r="BO425" s="32"/>
      <c r="BP425" s="32"/>
      <c r="BQ425" s="32"/>
      <c r="BR425" s="32"/>
      <c r="BS425" s="32"/>
      <c r="BT425" s="32"/>
      <c r="BU425" s="32"/>
      <c r="BV425" s="32"/>
      <c r="BW425" s="32"/>
      <c r="BX425" s="32"/>
    </row>
    <row r="426" spans="1:76" s="33" customFormat="1">
      <c r="A426" s="34" t="str">
        <f>IF(F426&lt;&gt;"",1+MAX($A$408:A425),"")</f>
        <v/>
      </c>
      <c r="B426" s="53"/>
      <c r="C426" s="54"/>
      <c r="D426" s="57"/>
      <c r="E426" s="58"/>
      <c r="F426" s="59"/>
      <c r="G426" s="162"/>
      <c r="H426" s="324"/>
      <c r="I426" s="61"/>
      <c r="J426" s="324"/>
      <c r="K426" s="61"/>
      <c r="L426" s="60"/>
      <c r="M426" s="60"/>
      <c r="N426" s="62"/>
      <c r="O426" s="6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  <c r="AB426" s="32"/>
      <c r="AC426" s="32"/>
      <c r="AD426" s="32"/>
      <c r="AE426" s="32"/>
      <c r="AF426" s="32"/>
      <c r="AG426" s="32"/>
      <c r="AH426" s="32"/>
      <c r="AI426" s="32"/>
      <c r="AJ426" s="32"/>
      <c r="AK426" s="32"/>
      <c r="AL426" s="32"/>
      <c r="AM426" s="32"/>
      <c r="AN426" s="32"/>
      <c r="AO426" s="32"/>
      <c r="AP426" s="32"/>
      <c r="AQ426" s="32"/>
      <c r="AR426" s="32"/>
      <c r="AS426" s="32"/>
      <c r="AT426" s="32"/>
      <c r="AU426" s="32"/>
      <c r="AV426" s="32"/>
      <c r="AW426" s="32"/>
      <c r="AX426" s="32"/>
      <c r="AY426" s="32"/>
      <c r="AZ426" s="32"/>
      <c r="BA426" s="32"/>
      <c r="BB426" s="32"/>
      <c r="BC426" s="32"/>
      <c r="BD426" s="32"/>
      <c r="BE426" s="32"/>
      <c r="BF426" s="32"/>
      <c r="BG426" s="32"/>
      <c r="BH426" s="32"/>
      <c r="BI426" s="32"/>
      <c r="BJ426" s="32"/>
      <c r="BK426" s="32"/>
      <c r="BL426" s="32"/>
      <c r="BM426" s="32"/>
      <c r="BN426" s="32"/>
      <c r="BO426" s="32"/>
      <c r="BP426" s="32"/>
      <c r="BQ426" s="32"/>
      <c r="BR426" s="32"/>
      <c r="BS426" s="32"/>
      <c r="BT426" s="32"/>
      <c r="BU426" s="32"/>
      <c r="BV426" s="32"/>
      <c r="BW426" s="32"/>
      <c r="BX426" s="32"/>
    </row>
    <row r="427" spans="1:76" s="33" customFormat="1">
      <c r="A427" s="34" t="str">
        <f>IF(F427&lt;&gt;"",1+MAX($A$408:A426),"")</f>
        <v/>
      </c>
      <c r="B427" s="53"/>
      <c r="C427" s="54"/>
      <c r="D427" s="57"/>
      <c r="E427" s="58"/>
      <c r="F427" s="59"/>
      <c r="G427" s="162"/>
      <c r="H427" s="324"/>
      <c r="I427" s="61"/>
      <c r="J427" s="324"/>
      <c r="K427" s="61"/>
      <c r="L427" s="60"/>
      <c r="M427" s="60"/>
      <c r="N427" s="62"/>
      <c r="O427" s="6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  <c r="AB427" s="32"/>
      <c r="AC427" s="32"/>
      <c r="AD427" s="32"/>
      <c r="AE427" s="32"/>
      <c r="AF427" s="32"/>
      <c r="AG427" s="32"/>
      <c r="AH427" s="32"/>
      <c r="AI427" s="32"/>
      <c r="AJ427" s="32"/>
      <c r="AK427" s="32"/>
      <c r="AL427" s="32"/>
      <c r="AM427" s="32"/>
      <c r="AN427" s="32"/>
      <c r="AO427" s="32"/>
      <c r="AP427" s="32"/>
      <c r="AQ427" s="32"/>
      <c r="AR427" s="32"/>
      <c r="AS427" s="32"/>
      <c r="AT427" s="32"/>
      <c r="AU427" s="32"/>
      <c r="AV427" s="32"/>
      <c r="AW427" s="32"/>
      <c r="AX427" s="32"/>
      <c r="AY427" s="32"/>
      <c r="AZ427" s="32"/>
      <c r="BA427" s="32"/>
      <c r="BB427" s="32"/>
      <c r="BC427" s="32"/>
      <c r="BD427" s="32"/>
      <c r="BE427" s="32"/>
      <c r="BF427" s="32"/>
      <c r="BG427" s="32"/>
      <c r="BH427" s="32"/>
      <c r="BI427" s="32"/>
      <c r="BJ427" s="32"/>
      <c r="BK427" s="32"/>
      <c r="BL427" s="32"/>
      <c r="BM427" s="32"/>
      <c r="BN427" s="32"/>
      <c r="BO427" s="32"/>
      <c r="BP427" s="32"/>
      <c r="BQ427" s="32"/>
      <c r="BR427" s="32"/>
      <c r="BS427" s="32"/>
      <c r="BT427" s="32"/>
      <c r="BU427" s="32"/>
      <c r="BV427" s="32"/>
      <c r="BW427" s="32"/>
      <c r="BX427" s="32"/>
    </row>
    <row r="428" spans="1:76" s="33" customFormat="1">
      <c r="A428" s="34" t="str">
        <f>IF(F428&lt;&gt;"",1+MAX($A$408:A427),"")</f>
        <v/>
      </c>
      <c r="B428" s="53"/>
      <c r="C428" s="54"/>
      <c r="D428" s="57"/>
      <c r="E428" s="58"/>
      <c r="F428" s="59"/>
      <c r="G428" s="162"/>
      <c r="H428" s="324"/>
      <c r="I428" s="61"/>
      <c r="J428" s="324"/>
      <c r="K428" s="61"/>
      <c r="L428" s="60"/>
      <c r="M428" s="60"/>
      <c r="N428" s="62"/>
      <c r="O428" s="6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  <c r="AB428" s="32"/>
      <c r="AC428" s="32"/>
      <c r="AD428" s="32"/>
      <c r="AE428" s="32"/>
      <c r="AF428" s="32"/>
      <c r="AG428" s="32"/>
      <c r="AH428" s="32"/>
      <c r="AI428" s="32"/>
      <c r="AJ428" s="32"/>
      <c r="AK428" s="32"/>
      <c r="AL428" s="32"/>
      <c r="AM428" s="32"/>
      <c r="AN428" s="32"/>
      <c r="AO428" s="32"/>
      <c r="AP428" s="32"/>
      <c r="AQ428" s="32"/>
      <c r="AR428" s="32"/>
      <c r="AS428" s="32"/>
      <c r="AT428" s="32"/>
      <c r="AU428" s="32"/>
      <c r="AV428" s="32"/>
      <c r="AW428" s="32"/>
      <c r="AX428" s="32"/>
      <c r="AY428" s="32"/>
      <c r="AZ428" s="32"/>
      <c r="BA428" s="32"/>
      <c r="BB428" s="32"/>
      <c r="BC428" s="32"/>
      <c r="BD428" s="32"/>
      <c r="BE428" s="32"/>
      <c r="BF428" s="32"/>
      <c r="BG428" s="32"/>
      <c r="BH428" s="32"/>
      <c r="BI428" s="32"/>
      <c r="BJ428" s="32"/>
      <c r="BK428" s="32"/>
      <c r="BL428" s="32"/>
      <c r="BM428" s="32"/>
      <c r="BN428" s="32"/>
      <c r="BO428" s="32"/>
      <c r="BP428" s="32"/>
      <c r="BQ428" s="32"/>
      <c r="BR428" s="32"/>
      <c r="BS428" s="32"/>
      <c r="BT428" s="32"/>
      <c r="BU428" s="32"/>
      <c r="BV428" s="32"/>
      <c r="BW428" s="32"/>
      <c r="BX428" s="32"/>
    </row>
    <row r="429" spans="1:76" s="33" customFormat="1">
      <c r="A429" s="34" t="str">
        <f>IF(F429&lt;&gt;"",1+MAX($A$408:A428),"")</f>
        <v/>
      </c>
      <c r="B429" s="53"/>
      <c r="C429" s="54"/>
      <c r="D429" s="57"/>
      <c r="E429" s="58"/>
      <c r="F429" s="59"/>
      <c r="G429" s="162"/>
      <c r="H429" s="324"/>
      <c r="I429" s="61"/>
      <c r="J429" s="324"/>
      <c r="K429" s="61"/>
      <c r="L429" s="60"/>
      <c r="M429" s="60"/>
      <c r="N429" s="60"/>
      <c r="O429" s="60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  <c r="AB429" s="32"/>
      <c r="AC429" s="32"/>
      <c r="AD429" s="32"/>
      <c r="AE429" s="32"/>
      <c r="AF429" s="32"/>
      <c r="AG429" s="32"/>
      <c r="AH429" s="32"/>
      <c r="AI429" s="32"/>
      <c r="AJ429" s="32"/>
      <c r="AK429" s="32"/>
      <c r="AL429" s="32"/>
      <c r="AM429" s="32"/>
      <c r="AN429" s="32"/>
      <c r="AO429" s="32"/>
      <c r="AP429" s="32"/>
      <c r="AQ429" s="32"/>
      <c r="AR429" s="32"/>
      <c r="AS429" s="32"/>
      <c r="AT429" s="32"/>
      <c r="AU429" s="32"/>
      <c r="AV429" s="32"/>
      <c r="AW429" s="32"/>
      <c r="AX429" s="32"/>
      <c r="AY429" s="32"/>
      <c r="AZ429" s="32"/>
      <c r="BA429" s="32"/>
      <c r="BB429" s="32"/>
      <c r="BC429" s="32"/>
      <c r="BD429" s="32"/>
      <c r="BE429" s="32"/>
      <c r="BF429" s="32"/>
      <c r="BG429" s="32"/>
      <c r="BH429" s="32"/>
      <c r="BI429" s="32"/>
      <c r="BJ429" s="32"/>
      <c r="BK429" s="32"/>
      <c r="BL429" s="32"/>
      <c r="BM429" s="32"/>
      <c r="BN429" s="32"/>
      <c r="BO429" s="32"/>
      <c r="BP429" s="32"/>
      <c r="BQ429" s="32"/>
      <c r="BR429" s="32"/>
      <c r="BS429" s="32"/>
      <c r="BT429" s="32"/>
      <c r="BU429" s="32"/>
      <c r="BV429" s="32"/>
      <c r="BW429" s="32"/>
      <c r="BX429" s="32"/>
    </row>
    <row r="430" spans="1:76" s="33" customFormat="1">
      <c r="A430" s="34" t="str">
        <f>IF(F430&lt;&gt;"",1+MAX($A$408:A429),"")</f>
        <v/>
      </c>
      <c r="B430" s="53"/>
      <c r="C430" s="54"/>
      <c r="D430" s="57"/>
      <c r="E430" s="58"/>
      <c r="F430" s="59"/>
      <c r="G430" s="162"/>
      <c r="H430" s="324"/>
      <c r="I430" s="61"/>
      <c r="J430" s="324"/>
      <c r="K430" s="61"/>
      <c r="L430" s="60"/>
      <c r="M430" s="60"/>
      <c r="N430" s="60"/>
      <c r="O430" s="60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  <c r="AA430" s="32"/>
      <c r="AB430" s="32"/>
      <c r="AC430" s="32"/>
      <c r="AD430" s="32"/>
      <c r="AE430" s="32"/>
      <c r="AF430" s="32"/>
      <c r="AG430" s="32"/>
      <c r="AH430" s="32"/>
      <c r="AI430" s="32"/>
      <c r="AJ430" s="32"/>
      <c r="AK430" s="32"/>
      <c r="AL430" s="32"/>
      <c r="AM430" s="32"/>
      <c r="AN430" s="32"/>
      <c r="AO430" s="32"/>
      <c r="AP430" s="32"/>
      <c r="AQ430" s="32"/>
      <c r="AR430" s="32"/>
      <c r="AS430" s="32"/>
      <c r="AT430" s="32"/>
      <c r="AU430" s="32"/>
      <c r="AV430" s="32"/>
      <c r="AW430" s="32"/>
      <c r="AX430" s="32"/>
      <c r="AY430" s="32"/>
      <c r="AZ430" s="32"/>
      <c r="BA430" s="32"/>
      <c r="BB430" s="32"/>
      <c r="BC430" s="32"/>
      <c r="BD430" s="32"/>
      <c r="BE430" s="32"/>
      <c r="BF430" s="32"/>
      <c r="BG430" s="32"/>
      <c r="BH430" s="32"/>
      <c r="BI430" s="32"/>
      <c r="BJ430" s="32"/>
      <c r="BK430" s="32"/>
      <c r="BL430" s="32"/>
      <c r="BM430" s="32"/>
      <c r="BN430" s="32"/>
      <c r="BO430" s="32"/>
      <c r="BP430" s="32"/>
      <c r="BQ430" s="32"/>
      <c r="BR430" s="32"/>
      <c r="BS430" s="32"/>
      <c r="BT430" s="32"/>
      <c r="BU430" s="32"/>
      <c r="BV430" s="32"/>
      <c r="BW430" s="32"/>
      <c r="BX430" s="32"/>
    </row>
    <row r="431" spans="1:76" s="33" customFormat="1">
      <c r="A431" s="34" t="str">
        <f>IF(F431&lt;&gt;"",1+MAX($A$408:A430),"")</f>
        <v/>
      </c>
      <c r="B431" s="53"/>
      <c r="C431" s="54"/>
      <c r="D431" s="57"/>
      <c r="E431" s="58"/>
      <c r="F431" s="59"/>
      <c r="G431" s="162"/>
      <c r="H431" s="324"/>
      <c r="I431" s="61"/>
      <c r="J431" s="324"/>
      <c r="K431" s="61"/>
      <c r="L431" s="60"/>
      <c r="M431" s="60"/>
      <c r="N431" s="60"/>
      <c r="O431" s="60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  <c r="AB431" s="32"/>
      <c r="AC431" s="32"/>
      <c r="AD431" s="32"/>
      <c r="AE431" s="32"/>
      <c r="AF431" s="32"/>
      <c r="AG431" s="32"/>
      <c r="AH431" s="32"/>
      <c r="AI431" s="32"/>
      <c r="AJ431" s="32"/>
      <c r="AK431" s="32"/>
      <c r="AL431" s="32"/>
      <c r="AM431" s="32"/>
      <c r="AN431" s="32"/>
      <c r="AO431" s="32"/>
      <c r="AP431" s="32"/>
      <c r="AQ431" s="32"/>
      <c r="AR431" s="32"/>
      <c r="AS431" s="32"/>
      <c r="AT431" s="32"/>
      <c r="AU431" s="32"/>
      <c r="AV431" s="32"/>
      <c r="AW431" s="32"/>
      <c r="AX431" s="32"/>
      <c r="AY431" s="32"/>
      <c r="AZ431" s="32"/>
      <c r="BA431" s="32"/>
      <c r="BB431" s="32"/>
      <c r="BC431" s="32"/>
      <c r="BD431" s="32"/>
      <c r="BE431" s="32"/>
      <c r="BF431" s="32"/>
      <c r="BG431" s="32"/>
      <c r="BH431" s="32"/>
      <c r="BI431" s="32"/>
      <c r="BJ431" s="32"/>
      <c r="BK431" s="32"/>
      <c r="BL431" s="32"/>
      <c r="BM431" s="32"/>
      <c r="BN431" s="32"/>
      <c r="BO431" s="32"/>
      <c r="BP431" s="32"/>
      <c r="BQ431" s="32"/>
      <c r="BR431" s="32"/>
      <c r="BS431" s="32"/>
      <c r="BT431" s="32"/>
      <c r="BU431" s="32"/>
      <c r="BV431" s="32"/>
      <c r="BW431" s="32"/>
      <c r="BX431" s="32"/>
    </row>
    <row r="432" spans="1:76" s="33" customFormat="1">
      <c r="A432" s="34" t="str">
        <f>IF(F432&lt;&gt;"",1+MAX($A$408:A431),"")</f>
        <v/>
      </c>
      <c r="B432" s="53"/>
      <c r="C432" s="54"/>
      <c r="D432" s="57"/>
      <c r="E432" s="58"/>
      <c r="F432" s="59"/>
      <c r="G432" s="162"/>
      <c r="H432" s="324"/>
      <c r="I432" s="61"/>
      <c r="J432" s="324"/>
      <c r="K432" s="61"/>
      <c r="L432" s="60"/>
      <c r="M432" s="60"/>
      <c r="N432" s="60"/>
      <c r="O432" s="60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  <c r="AB432" s="32"/>
      <c r="AC432" s="32"/>
      <c r="AD432" s="32"/>
      <c r="AE432" s="32"/>
      <c r="AF432" s="32"/>
      <c r="AG432" s="32"/>
      <c r="AH432" s="32"/>
      <c r="AI432" s="32"/>
      <c r="AJ432" s="32"/>
      <c r="AK432" s="32"/>
      <c r="AL432" s="32"/>
      <c r="AM432" s="32"/>
      <c r="AN432" s="32"/>
      <c r="AO432" s="32"/>
      <c r="AP432" s="32"/>
      <c r="AQ432" s="32"/>
      <c r="AR432" s="32"/>
      <c r="AS432" s="32"/>
      <c r="AT432" s="32"/>
      <c r="AU432" s="32"/>
      <c r="AV432" s="32"/>
      <c r="AW432" s="32"/>
      <c r="AX432" s="32"/>
      <c r="AY432" s="32"/>
      <c r="AZ432" s="32"/>
      <c r="BA432" s="32"/>
      <c r="BB432" s="32"/>
      <c r="BC432" s="32"/>
      <c r="BD432" s="32"/>
      <c r="BE432" s="32"/>
      <c r="BF432" s="32"/>
      <c r="BG432" s="32"/>
      <c r="BH432" s="32"/>
      <c r="BI432" s="32"/>
      <c r="BJ432" s="32"/>
      <c r="BK432" s="32"/>
      <c r="BL432" s="32"/>
      <c r="BM432" s="32"/>
      <c r="BN432" s="32"/>
      <c r="BO432" s="32"/>
      <c r="BP432" s="32"/>
      <c r="BQ432" s="32"/>
      <c r="BR432" s="32"/>
      <c r="BS432" s="32"/>
      <c r="BT432" s="32"/>
      <c r="BU432" s="32"/>
      <c r="BV432" s="32"/>
      <c r="BW432" s="32"/>
      <c r="BX432" s="32"/>
    </row>
    <row r="433" spans="1:76" s="33" customFormat="1">
      <c r="A433" s="34" t="str">
        <f>IF(F433&lt;&gt;"",1+MAX($A$408:A432),"")</f>
        <v/>
      </c>
      <c r="B433" s="53"/>
      <c r="C433" s="54"/>
      <c r="D433" s="57"/>
      <c r="E433" s="58"/>
      <c r="F433" s="59"/>
      <c r="G433" s="162"/>
      <c r="H433" s="324"/>
      <c r="I433" s="61"/>
      <c r="J433" s="324"/>
      <c r="K433" s="61"/>
      <c r="L433" s="60"/>
      <c r="M433" s="60"/>
      <c r="N433" s="60"/>
      <c r="O433" s="60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  <c r="AB433" s="32"/>
      <c r="AC433" s="32"/>
      <c r="AD433" s="32"/>
      <c r="AE433" s="32"/>
      <c r="AF433" s="32"/>
      <c r="AG433" s="32"/>
      <c r="AH433" s="32"/>
      <c r="AI433" s="32"/>
      <c r="AJ433" s="32"/>
      <c r="AK433" s="32"/>
      <c r="AL433" s="32"/>
      <c r="AM433" s="32"/>
      <c r="AN433" s="32"/>
      <c r="AO433" s="32"/>
      <c r="AP433" s="32"/>
      <c r="AQ433" s="32"/>
      <c r="AR433" s="32"/>
      <c r="AS433" s="32"/>
      <c r="AT433" s="32"/>
      <c r="AU433" s="32"/>
      <c r="AV433" s="32"/>
      <c r="AW433" s="32"/>
      <c r="AX433" s="32"/>
      <c r="AY433" s="32"/>
      <c r="AZ433" s="32"/>
      <c r="BA433" s="32"/>
      <c r="BB433" s="32"/>
      <c r="BC433" s="32"/>
      <c r="BD433" s="32"/>
      <c r="BE433" s="32"/>
      <c r="BF433" s="32"/>
      <c r="BG433" s="32"/>
      <c r="BH433" s="32"/>
      <c r="BI433" s="32"/>
      <c r="BJ433" s="32"/>
      <c r="BK433" s="32"/>
      <c r="BL433" s="32"/>
      <c r="BM433" s="32"/>
      <c r="BN433" s="32"/>
      <c r="BO433" s="32"/>
      <c r="BP433" s="32"/>
      <c r="BQ433" s="32"/>
      <c r="BR433" s="32"/>
      <c r="BS433" s="32"/>
      <c r="BT433" s="32"/>
      <c r="BU433" s="32"/>
      <c r="BV433" s="32"/>
      <c r="BW433" s="32"/>
      <c r="BX433" s="32"/>
    </row>
    <row r="434" spans="1:76" s="33" customFormat="1">
      <c r="A434" s="34" t="str">
        <f>IF(F434&lt;&gt;"",1+MAX($A$408:A433),"")</f>
        <v/>
      </c>
      <c r="B434" s="53"/>
      <c r="C434" s="54"/>
      <c r="D434" s="57"/>
      <c r="E434" s="58"/>
      <c r="F434" s="59"/>
      <c r="G434" s="162"/>
      <c r="H434" s="324"/>
      <c r="I434" s="61"/>
      <c r="J434" s="324"/>
      <c r="K434" s="61"/>
      <c r="L434" s="60"/>
      <c r="M434" s="60"/>
      <c r="N434" s="60"/>
      <c r="O434" s="60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  <c r="AB434" s="32"/>
      <c r="AC434" s="32"/>
      <c r="AD434" s="32"/>
      <c r="AE434" s="32"/>
      <c r="AF434" s="32"/>
      <c r="AG434" s="32"/>
      <c r="AH434" s="32"/>
      <c r="AI434" s="32"/>
      <c r="AJ434" s="32"/>
      <c r="AK434" s="32"/>
      <c r="AL434" s="32"/>
      <c r="AM434" s="32"/>
      <c r="AN434" s="32"/>
      <c r="AO434" s="32"/>
      <c r="AP434" s="32"/>
      <c r="AQ434" s="32"/>
      <c r="AR434" s="32"/>
      <c r="AS434" s="32"/>
      <c r="AT434" s="32"/>
      <c r="AU434" s="32"/>
      <c r="AV434" s="32"/>
      <c r="AW434" s="32"/>
      <c r="AX434" s="32"/>
      <c r="AY434" s="32"/>
      <c r="AZ434" s="32"/>
      <c r="BA434" s="32"/>
      <c r="BB434" s="32"/>
      <c r="BC434" s="32"/>
      <c r="BD434" s="32"/>
      <c r="BE434" s="32"/>
      <c r="BF434" s="32"/>
      <c r="BG434" s="32"/>
      <c r="BH434" s="32"/>
      <c r="BI434" s="32"/>
      <c r="BJ434" s="32"/>
      <c r="BK434" s="32"/>
      <c r="BL434" s="32"/>
      <c r="BM434" s="32"/>
      <c r="BN434" s="32"/>
      <c r="BO434" s="32"/>
      <c r="BP434" s="32"/>
      <c r="BQ434" s="32"/>
      <c r="BR434" s="32"/>
      <c r="BS434" s="32"/>
      <c r="BT434" s="32"/>
      <c r="BU434" s="32"/>
      <c r="BV434" s="32"/>
      <c r="BW434" s="32"/>
      <c r="BX434" s="32"/>
    </row>
    <row r="435" spans="1:76" s="33" customFormat="1">
      <c r="A435" s="34" t="str">
        <f>IF(F435&lt;&gt;"",1+MAX($A$408:A434),"")</f>
        <v/>
      </c>
      <c r="B435" s="53"/>
      <c r="C435" s="54"/>
      <c r="D435" s="57"/>
      <c r="E435" s="58"/>
      <c r="F435" s="59"/>
      <c r="G435" s="162"/>
      <c r="H435" s="324"/>
      <c r="I435" s="61"/>
      <c r="J435" s="324"/>
      <c r="K435" s="61"/>
      <c r="L435" s="60"/>
      <c r="M435" s="60"/>
      <c r="N435" s="60"/>
      <c r="O435" s="60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  <c r="AB435" s="32"/>
      <c r="AC435" s="32"/>
      <c r="AD435" s="32"/>
      <c r="AE435" s="32"/>
      <c r="AF435" s="32"/>
      <c r="AG435" s="32"/>
      <c r="AH435" s="32"/>
      <c r="AI435" s="32"/>
      <c r="AJ435" s="32"/>
      <c r="AK435" s="32"/>
      <c r="AL435" s="32"/>
      <c r="AM435" s="32"/>
      <c r="AN435" s="32"/>
      <c r="AO435" s="32"/>
      <c r="AP435" s="32"/>
      <c r="AQ435" s="32"/>
      <c r="AR435" s="32"/>
      <c r="AS435" s="32"/>
      <c r="AT435" s="32"/>
      <c r="AU435" s="32"/>
      <c r="AV435" s="32"/>
      <c r="AW435" s="32"/>
      <c r="AX435" s="32"/>
      <c r="AY435" s="32"/>
      <c r="AZ435" s="32"/>
      <c r="BA435" s="32"/>
      <c r="BB435" s="32"/>
      <c r="BC435" s="32"/>
      <c r="BD435" s="32"/>
      <c r="BE435" s="32"/>
      <c r="BF435" s="32"/>
      <c r="BG435" s="32"/>
      <c r="BH435" s="32"/>
      <c r="BI435" s="32"/>
      <c r="BJ435" s="32"/>
      <c r="BK435" s="32"/>
      <c r="BL435" s="32"/>
      <c r="BM435" s="32"/>
      <c r="BN435" s="32"/>
      <c r="BO435" s="32"/>
      <c r="BP435" s="32"/>
      <c r="BQ435" s="32"/>
      <c r="BR435" s="32"/>
      <c r="BS435" s="32"/>
      <c r="BT435" s="32"/>
      <c r="BU435" s="32"/>
      <c r="BV435" s="32"/>
      <c r="BW435" s="32"/>
      <c r="BX435" s="32"/>
    </row>
    <row r="436" spans="1:76" s="33" customFormat="1">
      <c r="A436" s="34" t="str">
        <f>IF(F436&lt;&gt;"",1+MAX($A$408:A435),"")</f>
        <v/>
      </c>
      <c r="B436" s="53"/>
      <c r="C436" s="54"/>
      <c r="D436" s="57"/>
      <c r="E436" s="58"/>
      <c r="F436" s="59"/>
      <c r="G436" s="162"/>
      <c r="H436" s="324"/>
      <c r="I436" s="61"/>
      <c r="J436" s="324"/>
      <c r="K436" s="61"/>
      <c r="L436" s="60"/>
      <c r="M436" s="60"/>
      <c r="N436" s="60"/>
      <c r="O436" s="60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  <c r="AB436" s="32"/>
      <c r="AC436" s="32"/>
      <c r="AD436" s="32"/>
      <c r="AE436" s="32"/>
      <c r="AF436" s="32"/>
      <c r="AG436" s="32"/>
      <c r="AH436" s="32"/>
      <c r="AI436" s="32"/>
      <c r="AJ436" s="32"/>
      <c r="AK436" s="32"/>
      <c r="AL436" s="32"/>
      <c r="AM436" s="32"/>
      <c r="AN436" s="32"/>
      <c r="AO436" s="32"/>
      <c r="AP436" s="32"/>
      <c r="AQ436" s="32"/>
      <c r="AR436" s="32"/>
      <c r="AS436" s="32"/>
      <c r="AT436" s="32"/>
      <c r="AU436" s="32"/>
      <c r="AV436" s="32"/>
      <c r="AW436" s="32"/>
      <c r="AX436" s="32"/>
      <c r="AY436" s="32"/>
      <c r="AZ436" s="32"/>
      <c r="BA436" s="32"/>
      <c r="BB436" s="32"/>
      <c r="BC436" s="32"/>
      <c r="BD436" s="32"/>
      <c r="BE436" s="32"/>
      <c r="BF436" s="32"/>
      <c r="BG436" s="32"/>
      <c r="BH436" s="32"/>
      <c r="BI436" s="32"/>
      <c r="BJ436" s="32"/>
      <c r="BK436" s="32"/>
      <c r="BL436" s="32"/>
      <c r="BM436" s="32"/>
      <c r="BN436" s="32"/>
      <c r="BO436" s="32"/>
      <c r="BP436" s="32"/>
      <c r="BQ436" s="32"/>
      <c r="BR436" s="32"/>
      <c r="BS436" s="32"/>
      <c r="BT436" s="32"/>
      <c r="BU436" s="32"/>
      <c r="BV436" s="32"/>
      <c r="BW436" s="32"/>
      <c r="BX436" s="32"/>
    </row>
    <row r="437" spans="1:76" s="33" customFormat="1">
      <c r="A437" s="34" t="str">
        <f>IF(F437&lt;&gt;"",1+MAX($A$408:A436),"")</f>
        <v/>
      </c>
      <c r="B437" s="53"/>
      <c r="C437" s="54"/>
      <c r="D437" s="57"/>
      <c r="E437" s="58"/>
      <c r="F437" s="59"/>
      <c r="G437" s="162"/>
      <c r="H437" s="324"/>
      <c r="I437" s="61"/>
      <c r="J437" s="324"/>
      <c r="K437" s="61"/>
      <c r="L437" s="60"/>
      <c r="M437" s="60"/>
      <c r="N437" s="60"/>
      <c r="O437" s="60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  <c r="AB437" s="32"/>
      <c r="AC437" s="32"/>
      <c r="AD437" s="32"/>
      <c r="AE437" s="32"/>
      <c r="AF437" s="32"/>
      <c r="AG437" s="32"/>
      <c r="AH437" s="32"/>
      <c r="AI437" s="32"/>
      <c r="AJ437" s="32"/>
      <c r="AK437" s="32"/>
      <c r="AL437" s="32"/>
      <c r="AM437" s="32"/>
      <c r="AN437" s="32"/>
      <c r="AO437" s="32"/>
      <c r="AP437" s="32"/>
      <c r="AQ437" s="32"/>
      <c r="AR437" s="32"/>
      <c r="AS437" s="32"/>
      <c r="AT437" s="32"/>
      <c r="AU437" s="32"/>
      <c r="AV437" s="32"/>
      <c r="AW437" s="32"/>
      <c r="AX437" s="32"/>
      <c r="AY437" s="32"/>
      <c r="AZ437" s="32"/>
      <c r="BA437" s="32"/>
      <c r="BB437" s="32"/>
      <c r="BC437" s="32"/>
      <c r="BD437" s="32"/>
      <c r="BE437" s="32"/>
      <c r="BF437" s="32"/>
      <c r="BG437" s="32"/>
      <c r="BH437" s="32"/>
      <c r="BI437" s="32"/>
      <c r="BJ437" s="32"/>
      <c r="BK437" s="32"/>
      <c r="BL437" s="32"/>
      <c r="BM437" s="32"/>
      <c r="BN437" s="32"/>
      <c r="BO437" s="32"/>
      <c r="BP437" s="32"/>
      <c r="BQ437" s="32"/>
      <c r="BR437" s="32"/>
      <c r="BS437" s="32"/>
      <c r="BT437" s="32"/>
      <c r="BU437" s="32"/>
      <c r="BV437" s="32"/>
      <c r="BW437" s="32"/>
      <c r="BX437" s="32"/>
    </row>
    <row r="438" spans="1:76" s="33" customFormat="1">
      <c r="A438" s="34" t="str">
        <f>IF(F438&lt;&gt;"",1+MAX($A$408:A437),"")</f>
        <v/>
      </c>
      <c r="B438" s="53"/>
      <c r="C438" s="54"/>
      <c r="D438" s="57"/>
      <c r="E438" s="58"/>
      <c r="F438" s="59"/>
      <c r="G438" s="162"/>
      <c r="H438" s="324"/>
      <c r="I438" s="61"/>
      <c r="J438" s="324"/>
      <c r="K438" s="61"/>
      <c r="L438" s="60"/>
      <c r="M438" s="60"/>
      <c r="N438" s="60"/>
      <c r="O438" s="60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  <c r="AB438" s="32"/>
      <c r="AC438" s="32"/>
      <c r="AD438" s="32"/>
      <c r="AE438" s="32"/>
      <c r="AF438" s="32"/>
      <c r="AG438" s="32"/>
      <c r="AH438" s="32"/>
      <c r="AI438" s="32"/>
      <c r="AJ438" s="32"/>
      <c r="AK438" s="32"/>
      <c r="AL438" s="32"/>
      <c r="AM438" s="32"/>
      <c r="AN438" s="32"/>
      <c r="AO438" s="32"/>
      <c r="AP438" s="32"/>
      <c r="AQ438" s="32"/>
      <c r="AR438" s="32"/>
      <c r="AS438" s="32"/>
      <c r="AT438" s="32"/>
      <c r="AU438" s="32"/>
      <c r="AV438" s="32"/>
      <c r="AW438" s="32"/>
      <c r="AX438" s="32"/>
      <c r="AY438" s="32"/>
      <c r="AZ438" s="32"/>
      <c r="BA438" s="32"/>
      <c r="BB438" s="32"/>
      <c r="BC438" s="32"/>
      <c r="BD438" s="32"/>
      <c r="BE438" s="32"/>
      <c r="BF438" s="32"/>
      <c r="BG438" s="32"/>
      <c r="BH438" s="32"/>
      <c r="BI438" s="32"/>
      <c r="BJ438" s="32"/>
      <c r="BK438" s="32"/>
      <c r="BL438" s="32"/>
      <c r="BM438" s="32"/>
      <c r="BN438" s="32"/>
      <c r="BO438" s="32"/>
      <c r="BP438" s="32"/>
      <c r="BQ438" s="32"/>
      <c r="BR438" s="32"/>
      <c r="BS438" s="32"/>
      <c r="BT438" s="32"/>
      <c r="BU438" s="32"/>
      <c r="BV438" s="32"/>
      <c r="BW438" s="32"/>
      <c r="BX438" s="32"/>
    </row>
    <row r="439" spans="1:76" s="33" customFormat="1">
      <c r="A439" s="34" t="str">
        <f>IF(F439&lt;&gt;"",1+MAX($A$408:A438),"")</f>
        <v/>
      </c>
      <c r="B439" s="53"/>
      <c r="C439" s="54"/>
      <c r="D439" s="57"/>
      <c r="E439" s="58"/>
      <c r="F439" s="59"/>
      <c r="G439" s="162"/>
      <c r="H439" s="324"/>
      <c r="I439" s="61"/>
      <c r="J439" s="324"/>
      <c r="K439" s="61"/>
      <c r="L439" s="60"/>
      <c r="M439" s="60"/>
      <c r="N439" s="60"/>
      <c r="O439" s="60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  <c r="AB439" s="32"/>
      <c r="AC439" s="32"/>
      <c r="AD439" s="32"/>
      <c r="AE439" s="32"/>
      <c r="AF439" s="32"/>
      <c r="AG439" s="32"/>
      <c r="AH439" s="32"/>
      <c r="AI439" s="32"/>
      <c r="AJ439" s="32"/>
      <c r="AK439" s="32"/>
      <c r="AL439" s="32"/>
      <c r="AM439" s="32"/>
      <c r="AN439" s="32"/>
      <c r="AO439" s="32"/>
      <c r="AP439" s="32"/>
      <c r="AQ439" s="32"/>
      <c r="AR439" s="32"/>
      <c r="AS439" s="32"/>
      <c r="AT439" s="32"/>
      <c r="AU439" s="32"/>
      <c r="AV439" s="32"/>
      <c r="AW439" s="32"/>
      <c r="AX439" s="32"/>
      <c r="AY439" s="32"/>
      <c r="AZ439" s="32"/>
      <c r="BA439" s="32"/>
      <c r="BB439" s="32"/>
      <c r="BC439" s="32"/>
      <c r="BD439" s="32"/>
      <c r="BE439" s="32"/>
      <c r="BF439" s="32"/>
      <c r="BG439" s="32"/>
      <c r="BH439" s="32"/>
      <c r="BI439" s="32"/>
      <c r="BJ439" s="32"/>
      <c r="BK439" s="32"/>
      <c r="BL439" s="32"/>
      <c r="BM439" s="32"/>
      <c r="BN439" s="32"/>
      <c r="BO439" s="32"/>
      <c r="BP439" s="32"/>
      <c r="BQ439" s="32"/>
      <c r="BR439" s="32"/>
      <c r="BS439" s="32"/>
      <c r="BT439" s="32"/>
      <c r="BU439" s="32"/>
      <c r="BV439" s="32"/>
      <c r="BW439" s="32"/>
      <c r="BX439" s="32"/>
    </row>
    <row r="440" spans="1:76" s="33" customFormat="1">
      <c r="A440" s="34" t="str">
        <f>IF(F440&lt;&gt;"",1+MAX($A$408:A439),"")</f>
        <v/>
      </c>
      <c r="B440" s="53"/>
      <c r="C440" s="54"/>
      <c r="D440" s="57"/>
      <c r="E440" s="58"/>
      <c r="F440" s="59"/>
      <c r="G440" s="162"/>
      <c r="H440" s="324"/>
      <c r="I440" s="61"/>
      <c r="J440" s="324"/>
      <c r="K440" s="61"/>
      <c r="L440" s="60"/>
      <c r="M440" s="60"/>
      <c r="N440" s="60"/>
      <c r="O440" s="60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  <c r="AB440" s="32"/>
      <c r="AC440" s="32"/>
      <c r="AD440" s="32"/>
      <c r="AE440" s="32"/>
      <c r="AF440" s="32"/>
      <c r="AG440" s="32"/>
      <c r="AH440" s="32"/>
      <c r="AI440" s="32"/>
      <c r="AJ440" s="32"/>
      <c r="AK440" s="32"/>
      <c r="AL440" s="32"/>
      <c r="AM440" s="32"/>
      <c r="AN440" s="32"/>
      <c r="AO440" s="32"/>
      <c r="AP440" s="32"/>
      <c r="AQ440" s="32"/>
      <c r="AR440" s="32"/>
      <c r="AS440" s="32"/>
      <c r="AT440" s="32"/>
      <c r="AU440" s="32"/>
      <c r="AV440" s="32"/>
      <c r="AW440" s="32"/>
      <c r="AX440" s="32"/>
      <c r="AY440" s="32"/>
      <c r="AZ440" s="32"/>
      <c r="BA440" s="32"/>
      <c r="BB440" s="32"/>
      <c r="BC440" s="32"/>
      <c r="BD440" s="32"/>
      <c r="BE440" s="32"/>
      <c r="BF440" s="32"/>
      <c r="BG440" s="32"/>
      <c r="BH440" s="32"/>
      <c r="BI440" s="32"/>
      <c r="BJ440" s="32"/>
      <c r="BK440" s="32"/>
      <c r="BL440" s="32"/>
      <c r="BM440" s="32"/>
      <c r="BN440" s="32"/>
      <c r="BO440" s="32"/>
      <c r="BP440" s="32"/>
      <c r="BQ440" s="32"/>
      <c r="BR440" s="32"/>
      <c r="BS440" s="32"/>
      <c r="BT440" s="32"/>
      <c r="BU440" s="32"/>
      <c r="BV440" s="32"/>
      <c r="BW440" s="32"/>
      <c r="BX440" s="32"/>
    </row>
    <row r="441" spans="1:76" s="33" customFormat="1">
      <c r="A441" s="34" t="str">
        <f>IF(F441&lt;&gt;"",1+MAX($A$408:A440),"")</f>
        <v/>
      </c>
      <c r="B441" s="53"/>
      <c r="C441" s="54"/>
      <c r="D441" s="57"/>
      <c r="E441" s="58"/>
      <c r="F441" s="59"/>
      <c r="G441" s="162"/>
      <c r="H441" s="324"/>
      <c r="I441" s="61"/>
      <c r="J441" s="324"/>
      <c r="K441" s="61"/>
      <c r="L441" s="60"/>
      <c r="M441" s="60"/>
      <c r="N441" s="60"/>
      <c r="O441" s="60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  <c r="AB441" s="32"/>
      <c r="AC441" s="32"/>
      <c r="AD441" s="32"/>
      <c r="AE441" s="32"/>
      <c r="AF441" s="32"/>
      <c r="AG441" s="32"/>
      <c r="AH441" s="32"/>
      <c r="AI441" s="32"/>
      <c r="AJ441" s="32"/>
      <c r="AK441" s="32"/>
      <c r="AL441" s="32"/>
      <c r="AM441" s="32"/>
      <c r="AN441" s="32"/>
      <c r="AO441" s="32"/>
      <c r="AP441" s="32"/>
      <c r="AQ441" s="32"/>
      <c r="AR441" s="32"/>
      <c r="AS441" s="32"/>
      <c r="AT441" s="32"/>
      <c r="AU441" s="32"/>
      <c r="AV441" s="32"/>
      <c r="AW441" s="32"/>
      <c r="AX441" s="32"/>
      <c r="AY441" s="32"/>
      <c r="AZ441" s="32"/>
      <c r="BA441" s="32"/>
      <c r="BB441" s="32"/>
      <c r="BC441" s="32"/>
      <c r="BD441" s="32"/>
      <c r="BE441" s="32"/>
      <c r="BF441" s="32"/>
      <c r="BG441" s="32"/>
      <c r="BH441" s="32"/>
      <c r="BI441" s="32"/>
      <c r="BJ441" s="32"/>
      <c r="BK441" s="32"/>
      <c r="BL441" s="32"/>
      <c r="BM441" s="32"/>
      <c r="BN441" s="32"/>
      <c r="BO441" s="32"/>
      <c r="BP441" s="32"/>
      <c r="BQ441" s="32"/>
      <c r="BR441" s="32"/>
      <c r="BS441" s="32"/>
      <c r="BT441" s="32"/>
      <c r="BU441" s="32"/>
      <c r="BV441" s="32"/>
      <c r="BW441" s="32"/>
      <c r="BX441" s="32"/>
    </row>
    <row r="442" spans="1:76" s="33" customFormat="1">
      <c r="A442" s="34" t="str">
        <f>IF(F442&lt;&gt;"",1+MAX($A$408:A441),"")</f>
        <v/>
      </c>
      <c r="B442" s="53"/>
      <c r="C442" s="54"/>
      <c r="D442" s="57"/>
      <c r="E442" s="58"/>
      <c r="F442" s="59"/>
      <c r="G442" s="162"/>
      <c r="H442" s="324"/>
      <c r="I442" s="61"/>
      <c r="J442" s="324"/>
      <c r="K442" s="61"/>
      <c r="L442" s="60"/>
      <c r="M442" s="60"/>
      <c r="N442" s="60"/>
      <c r="O442" s="60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  <c r="AB442" s="32"/>
      <c r="AC442" s="32"/>
      <c r="AD442" s="32"/>
      <c r="AE442" s="32"/>
      <c r="AF442" s="32"/>
      <c r="AG442" s="32"/>
      <c r="AH442" s="32"/>
      <c r="AI442" s="32"/>
      <c r="AJ442" s="32"/>
      <c r="AK442" s="32"/>
      <c r="AL442" s="32"/>
      <c r="AM442" s="32"/>
      <c r="AN442" s="32"/>
      <c r="AO442" s="32"/>
      <c r="AP442" s="32"/>
      <c r="AQ442" s="32"/>
      <c r="AR442" s="32"/>
      <c r="AS442" s="32"/>
      <c r="AT442" s="32"/>
      <c r="AU442" s="32"/>
      <c r="AV442" s="32"/>
      <c r="AW442" s="32"/>
      <c r="AX442" s="32"/>
      <c r="AY442" s="32"/>
      <c r="AZ442" s="32"/>
      <c r="BA442" s="32"/>
      <c r="BB442" s="32"/>
      <c r="BC442" s="32"/>
      <c r="BD442" s="32"/>
      <c r="BE442" s="32"/>
      <c r="BF442" s="32"/>
      <c r="BG442" s="32"/>
      <c r="BH442" s="32"/>
      <c r="BI442" s="32"/>
      <c r="BJ442" s="32"/>
      <c r="BK442" s="32"/>
      <c r="BL442" s="32"/>
      <c r="BM442" s="32"/>
      <c r="BN442" s="32"/>
      <c r="BO442" s="32"/>
      <c r="BP442" s="32"/>
      <c r="BQ442" s="32"/>
      <c r="BR442" s="32"/>
      <c r="BS442" s="32"/>
      <c r="BT442" s="32"/>
      <c r="BU442" s="32"/>
      <c r="BV442" s="32"/>
      <c r="BW442" s="32"/>
      <c r="BX442" s="32"/>
    </row>
    <row r="443" spans="1:76" s="33" customFormat="1">
      <c r="A443" s="34" t="str">
        <f>IF(F443&lt;&gt;"",1+MAX($A$408:A442),"")</f>
        <v/>
      </c>
      <c r="B443" s="53"/>
      <c r="C443" s="54"/>
      <c r="D443" s="57"/>
      <c r="E443" s="58"/>
      <c r="F443" s="59"/>
      <c r="G443" s="162"/>
      <c r="H443" s="324"/>
      <c r="I443" s="61"/>
      <c r="J443" s="324"/>
      <c r="K443" s="61"/>
      <c r="L443" s="60"/>
      <c r="M443" s="60"/>
      <c r="N443" s="60"/>
      <c r="O443" s="60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  <c r="AB443" s="32"/>
      <c r="AC443" s="32"/>
      <c r="AD443" s="32"/>
      <c r="AE443" s="32"/>
      <c r="AF443" s="32"/>
      <c r="AG443" s="32"/>
      <c r="AH443" s="32"/>
      <c r="AI443" s="32"/>
      <c r="AJ443" s="32"/>
      <c r="AK443" s="32"/>
      <c r="AL443" s="32"/>
      <c r="AM443" s="32"/>
      <c r="AN443" s="32"/>
      <c r="AO443" s="32"/>
      <c r="AP443" s="32"/>
      <c r="AQ443" s="32"/>
      <c r="AR443" s="32"/>
      <c r="AS443" s="32"/>
      <c r="AT443" s="32"/>
      <c r="AU443" s="32"/>
      <c r="AV443" s="32"/>
      <c r="AW443" s="32"/>
      <c r="AX443" s="32"/>
      <c r="AY443" s="32"/>
      <c r="AZ443" s="32"/>
      <c r="BA443" s="32"/>
      <c r="BB443" s="32"/>
      <c r="BC443" s="32"/>
      <c r="BD443" s="32"/>
      <c r="BE443" s="32"/>
      <c r="BF443" s="32"/>
      <c r="BG443" s="32"/>
      <c r="BH443" s="32"/>
      <c r="BI443" s="32"/>
      <c r="BJ443" s="32"/>
      <c r="BK443" s="32"/>
      <c r="BL443" s="32"/>
      <c r="BM443" s="32"/>
      <c r="BN443" s="32"/>
      <c r="BO443" s="32"/>
      <c r="BP443" s="32"/>
      <c r="BQ443" s="32"/>
      <c r="BR443" s="32"/>
      <c r="BS443" s="32"/>
      <c r="BT443" s="32"/>
      <c r="BU443" s="32"/>
      <c r="BV443" s="32"/>
      <c r="BW443" s="32"/>
      <c r="BX443" s="32"/>
    </row>
    <row r="444" spans="1:76" s="33" customFormat="1">
      <c r="A444" s="34" t="str">
        <f>IF(F444&lt;&gt;"",1+MAX($A$408:A443),"")</f>
        <v/>
      </c>
      <c r="B444" s="53"/>
      <c r="C444" s="54"/>
      <c r="D444" s="57"/>
      <c r="E444" s="58"/>
      <c r="F444" s="59"/>
      <c r="G444" s="162"/>
      <c r="H444" s="324"/>
      <c r="I444" s="61"/>
      <c r="J444" s="324"/>
      <c r="K444" s="61"/>
      <c r="L444" s="60"/>
      <c r="M444" s="60"/>
      <c r="N444" s="60"/>
      <c r="O444" s="60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  <c r="AB444" s="32"/>
      <c r="AC444" s="32"/>
      <c r="AD444" s="32"/>
      <c r="AE444" s="32"/>
      <c r="AF444" s="32"/>
      <c r="AG444" s="32"/>
      <c r="AH444" s="32"/>
      <c r="AI444" s="32"/>
      <c r="AJ444" s="32"/>
      <c r="AK444" s="32"/>
      <c r="AL444" s="32"/>
      <c r="AM444" s="32"/>
      <c r="AN444" s="32"/>
      <c r="AO444" s="32"/>
      <c r="AP444" s="32"/>
      <c r="AQ444" s="32"/>
      <c r="AR444" s="32"/>
      <c r="AS444" s="32"/>
      <c r="AT444" s="32"/>
      <c r="AU444" s="32"/>
      <c r="AV444" s="32"/>
      <c r="AW444" s="32"/>
      <c r="AX444" s="32"/>
      <c r="AY444" s="32"/>
      <c r="AZ444" s="32"/>
      <c r="BA444" s="32"/>
      <c r="BB444" s="32"/>
      <c r="BC444" s="32"/>
      <c r="BD444" s="32"/>
      <c r="BE444" s="32"/>
      <c r="BF444" s="32"/>
      <c r="BG444" s="32"/>
      <c r="BH444" s="32"/>
      <c r="BI444" s="32"/>
      <c r="BJ444" s="32"/>
      <c r="BK444" s="32"/>
      <c r="BL444" s="32"/>
      <c r="BM444" s="32"/>
      <c r="BN444" s="32"/>
      <c r="BO444" s="32"/>
      <c r="BP444" s="32"/>
      <c r="BQ444" s="32"/>
      <c r="BR444" s="32"/>
      <c r="BS444" s="32"/>
      <c r="BT444" s="32"/>
      <c r="BU444" s="32"/>
      <c r="BV444" s="32"/>
      <c r="BW444" s="32"/>
      <c r="BX444" s="32"/>
    </row>
    <row r="445" spans="1:76" s="33" customFormat="1">
      <c r="A445" s="34" t="str">
        <f>IF(F445&lt;&gt;"",1+MAX($A$408:A444),"")</f>
        <v/>
      </c>
      <c r="B445" s="53"/>
      <c r="C445" s="168"/>
      <c r="D445" s="169"/>
      <c r="E445" s="32"/>
      <c r="F445" s="170"/>
      <c r="G445" s="171"/>
      <c r="H445" s="326"/>
      <c r="I445" s="172"/>
      <c r="J445" s="326"/>
      <c r="K445" s="172"/>
      <c r="L445" s="32"/>
      <c r="M445" s="32"/>
      <c r="N445" s="60"/>
      <c r="O445" s="60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  <c r="AB445" s="32"/>
      <c r="AC445" s="32"/>
      <c r="AD445" s="32"/>
      <c r="AE445" s="32"/>
      <c r="AF445" s="32"/>
      <c r="AG445" s="32"/>
      <c r="AH445" s="32"/>
      <c r="AI445" s="32"/>
      <c r="AJ445" s="32"/>
      <c r="AK445" s="32"/>
      <c r="AL445" s="32"/>
      <c r="AM445" s="32"/>
      <c r="AN445" s="32"/>
      <c r="AO445" s="32"/>
      <c r="AP445" s="32"/>
      <c r="AQ445" s="32"/>
      <c r="AR445" s="32"/>
      <c r="AS445" s="32"/>
      <c r="AT445" s="32"/>
      <c r="AU445" s="32"/>
      <c r="AV445" s="32"/>
      <c r="AW445" s="32"/>
      <c r="AX445" s="32"/>
      <c r="AY445" s="32"/>
      <c r="AZ445" s="32"/>
      <c r="BA445" s="32"/>
      <c r="BB445" s="32"/>
      <c r="BC445" s="32"/>
      <c r="BD445" s="32"/>
      <c r="BE445" s="32"/>
      <c r="BF445" s="32"/>
      <c r="BG445" s="32"/>
      <c r="BH445" s="32"/>
      <c r="BI445" s="32"/>
      <c r="BJ445" s="32"/>
      <c r="BK445" s="32"/>
      <c r="BL445" s="32"/>
      <c r="BM445" s="32"/>
      <c r="BN445" s="32"/>
      <c r="BO445" s="32"/>
      <c r="BP445" s="32"/>
      <c r="BQ445" s="32"/>
      <c r="BR445" s="32"/>
      <c r="BS445" s="32"/>
      <c r="BT445" s="32"/>
      <c r="BU445" s="32"/>
      <c r="BV445" s="32"/>
      <c r="BW445" s="32"/>
      <c r="BX445" s="32"/>
    </row>
    <row r="446" spans="1:76" s="33" customFormat="1">
      <c r="A446" s="34" t="str">
        <f>IF(F446&lt;&gt;"",1+MAX($A$408:A445),"")</f>
        <v/>
      </c>
      <c r="B446" s="53"/>
      <c r="C446" s="168"/>
      <c r="D446" s="169"/>
      <c r="E446" s="32"/>
      <c r="F446" s="170"/>
      <c r="G446" s="171"/>
      <c r="H446" s="326"/>
      <c r="I446" s="172"/>
      <c r="J446" s="326"/>
      <c r="K446" s="172"/>
      <c r="L446" s="32"/>
      <c r="M446" s="32"/>
      <c r="N446" s="60"/>
      <c r="O446" s="60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  <c r="AB446" s="32"/>
      <c r="AC446" s="32"/>
      <c r="AD446" s="32"/>
      <c r="AE446" s="32"/>
      <c r="AF446" s="32"/>
      <c r="AG446" s="32"/>
      <c r="AH446" s="32"/>
      <c r="AI446" s="32"/>
      <c r="AJ446" s="32"/>
      <c r="AK446" s="32"/>
      <c r="AL446" s="32"/>
      <c r="AM446" s="32"/>
      <c r="AN446" s="32"/>
      <c r="AO446" s="32"/>
      <c r="AP446" s="32"/>
      <c r="AQ446" s="32"/>
      <c r="AR446" s="32"/>
      <c r="AS446" s="32"/>
      <c r="AT446" s="32"/>
      <c r="AU446" s="32"/>
      <c r="AV446" s="32"/>
      <c r="AW446" s="32"/>
      <c r="AX446" s="32"/>
      <c r="AY446" s="32"/>
      <c r="AZ446" s="32"/>
      <c r="BA446" s="32"/>
      <c r="BB446" s="32"/>
      <c r="BC446" s="32"/>
      <c r="BD446" s="32"/>
      <c r="BE446" s="32"/>
      <c r="BF446" s="32"/>
      <c r="BG446" s="32"/>
      <c r="BH446" s="32"/>
      <c r="BI446" s="32"/>
      <c r="BJ446" s="32"/>
      <c r="BK446" s="32"/>
      <c r="BL446" s="32"/>
      <c r="BM446" s="32"/>
      <c r="BN446" s="32"/>
      <c r="BO446" s="32"/>
      <c r="BP446" s="32"/>
      <c r="BQ446" s="32"/>
      <c r="BR446" s="32"/>
      <c r="BS446" s="32"/>
      <c r="BT446" s="32"/>
      <c r="BU446" s="32"/>
      <c r="BV446" s="32"/>
      <c r="BW446" s="32"/>
      <c r="BX446" s="32"/>
    </row>
    <row r="447" spans="1:76" s="33" customFormat="1">
      <c r="A447" s="34" t="str">
        <f>IF(F447&lt;&gt;"",1+MAX($A$408:A446),"")</f>
        <v/>
      </c>
      <c r="B447" s="53"/>
      <c r="C447" s="168"/>
      <c r="D447" s="169"/>
      <c r="E447" s="32"/>
      <c r="F447" s="170"/>
      <c r="G447" s="171"/>
      <c r="H447" s="326"/>
      <c r="I447" s="172"/>
      <c r="J447" s="326"/>
      <c r="K447" s="172"/>
      <c r="L447" s="32"/>
      <c r="M447" s="32"/>
      <c r="N447" s="60"/>
      <c r="O447" s="60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  <c r="AB447" s="32"/>
      <c r="AC447" s="32"/>
      <c r="AD447" s="32"/>
      <c r="AE447" s="32"/>
      <c r="AF447" s="32"/>
      <c r="AG447" s="32"/>
      <c r="AH447" s="32"/>
      <c r="AI447" s="32"/>
      <c r="AJ447" s="32"/>
      <c r="AK447" s="32"/>
      <c r="AL447" s="32"/>
      <c r="AM447" s="32"/>
      <c r="AN447" s="32"/>
      <c r="AO447" s="32"/>
      <c r="AP447" s="32"/>
      <c r="AQ447" s="32"/>
      <c r="AR447" s="32"/>
      <c r="AS447" s="32"/>
      <c r="AT447" s="32"/>
      <c r="AU447" s="32"/>
      <c r="AV447" s="32"/>
      <c r="AW447" s="32"/>
      <c r="AX447" s="32"/>
      <c r="AY447" s="32"/>
      <c r="AZ447" s="32"/>
      <c r="BA447" s="32"/>
      <c r="BB447" s="32"/>
      <c r="BC447" s="32"/>
      <c r="BD447" s="32"/>
      <c r="BE447" s="32"/>
      <c r="BF447" s="32"/>
      <c r="BG447" s="32"/>
      <c r="BH447" s="32"/>
      <c r="BI447" s="32"/>
      <c r="BJ447" s="32"/>
      <c r="BK447" s="32"/>
      <c r="BL447" s="32"/>
      <c r="BM447" s="32"/>
      <c r="BN447" s="32"/>
      <c r="BO447" s="32"/>
      <c r="BP447" s="32"/>
      <c r="BQ447" s="32"/>
      <c r="BR447" s="32"/>
      <c r="BS447" s="32"/>
      <c r="BT447" s="32"/>
      <c r="BU447" s="32"/>
      <c r="BV447" s="32"/>
      <c r="BW447" s="32"/>
      <c r="BX447" s="32"/>
    </row>
    <row r="448" spans="1:76" s="33" customFormat="1">
      <c r="A448" s="34" t="str">
        <f>IF(F448&lt;&gt;"",1+MAX($A$408:A447),"")</f>
        <v/>
      </c>
      <c r="B448" s="53"/>
      <c r="C448" s="168"/>
      <c r="D448" s="169"/>
      <c r="E448" s="32"/>
      <c r="F448" s="170"/>
      <c r="G448" s="171"/>
      <c r="H448" s="326"/>
      <c r="I448" s="172"/>
      <c r="J448" s="326"/>
      <c r="K448" s="172"/>
      <c r="L448" s="32"/>
      <c r="M448" s="32"/>
      <c r="N448" s="60"/>
      <c r="O448" s="60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  <c r="AB448" s="32"/>
      <c r="AC448" s="32"/>
      <c r="AD448" s="32"/>
      <c r="AE448" s="32"/>
      <c r="AF448" s="32"/>
      <c r="AG448" s="32"/>
      <c r="AH448" s="32"/>
      <c r="AI448" s="32"/>
      <c r="AJ448" s="32"/>
      <c r="AK448" s="32"/>
      <c r="AL448" s="32"/>
      <c r="AM448" s="32"/>
      <c r="AN448" s="32"/>
      <c r="AO448" s="32"/>
      <c r="AP448" s="32"/>
      <c r="AQ448" s="32"/>
      <c r="AR448" s="32"/>
      <c r="AS448" s="32"/>
      <c r="AT448" s="32"/>
      <c r="AU448" s="32"/>
      <c r="AV448" s="32"/>
      <c r="AW448" s="32"/>
      <c r="AX448" s="32"/>
      <c r="AY448" s="32"/>
      <c r="AZ448" s="32"/>
      <c r="BA448" s="32"/>
      <c r="BB448" s="32"/>
      <c r="BC448" s="32"/>
      <c r="BD448" s="32"/>
      <c r="BE448" s="32"/>
      <c r="BF448" s="32"/>
      <c r="BG448" s="32"/>
      <c r="BH448" s="32"/>
      <c r="BI448" s="32"/>
      <c r="BJ448" s="32"/>
      <c r="BK448" s="32"/>
      <c r="BL448" s="32"/>
      <c r="BM448" s="32"/>
      <c r="BN448" s="32"/>
      <c r="BO448" s="32"/>
      <c r="BP448" s="32"/>
      <c r="BQ448" s="32"/>
      <c r="BR448" s="32"/>
      <c r="BS448" s="32"/>
      <c r="BT448" s="32"/>
      <c r="BU448" s="32"/>
      <c r="BV448" s="32"/>
      <c r="BW448" s="32"/>
      <c r="BX448" s="32"/>
    </row>
    <row r="449" spans="1:76" s="33" customFormat="1">
      <c r="A449" s="34" t="str">
        <f>IF(F449&lt;&gt;"",1+MAX($A$408:A448),"")</f>
        <v/>
      </c>
      <c r="B449" s="53"/>
      <c r="C449" s="168"/>
      <c r="D449" s="169"/>
      <c r="E449" s="32"/>
      <c r="F449" s="170"/>
      <c r="G449" s="171"/>
      <c r="H449" s="326"/>
      <c r="I449" s="172"/>
      <c r="J449" s="326"/>
      <c r="K449" s="172"/>
      <c r="L449" s="32"/>
      <c r="M449" s="32"/>
      <c r="N449" s="60"/>
      <c r="O449" s="60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  <c r="AB449" s="32"/>
      <c r="AC449" s="32"/>
      <c r="AD449" s="32"/>
      <c r="AE449" s="32"/>
      <c r="AF449" s="32"/>
      <c r="AG449" s="32"/>
      <c r="AH449" s="32"/>
      <c r="AI449" s="32"/>
      <c r="AJ449" s="32"/>
      <c r="AK449" s="32"/>
      <c r="AL449" s="32"/>
      <c r="AM449" s="32"/>
      <c r="AN449" s="32"/>
      <c r="AO449" s="32"/>
      <c r="AP449" s="32"/>
      <c r="AQ449" s="32"/>
      <c r="AR449" s="32"/>
      <c r="AS449" s="32"/>
      <c r="AT449" s="32"/>
      <c r="AU449" s="32"/>
      <c r="AV449" s="32"/>
      <c r="AW449" s="32"/>
      <c r="AX449" s="32"/>
      <c r="AY449" s="32"/>
      <c r="AZ449" s="32"/>
      <c r="BA449" s="32"/>
      <c r="BB449" s="32"/>
      <c r="BC449" s="32"/>
      <c r="BD449" s="32"/>
      <c r="BE449" s="32"/>
      <c r="BF449" s="32"/>
      <c r="BG449" s="32"/>
      <c r="BH449" s="32"/>
      <c r="BI449" s="32"/>
      <c r="BJ449" s="32"/>
      <c r="BK449" s="32"/>
      <c r="BL449" s="32"/>
      <c r="BM449" s="32"/>
      <c r="BN449" s="32"/>
      <c r="BO449" s="32"/>
      <c r="BP449" s="32"/>
      <c r="BQ449" s="32"/>
      <c r="BR449" s="32"/>
      <c r="BS449" s="32"/>
      <c r="BT449" s="32"/>
      <c r="BU449" s="32"/>
      <c r="BV449" s="32"/>
      <c r="BW449" s="32"/>
      <c r="BX449" s="32"/>
    </row>
    <row r="450" spans="1:76" s="33" customFormat="1">
      <c r="A450" s="34" t="str">
        <f>IF(F450&lt;&gt;"",1+MAX($A$408:A449),"")</f>
        <v/>
      </c>
      <c r="B450" s="53"/>
      <c r="C450" s="168"/>
      <c r="D450" s="169"/>
      <c r="E450" s="32"/>
      <c r="F450" s="170"/>
      <c r="G450" s="171"/>
      <c r="H450" s="326"/>
      <c r="I450" s="172"/>
      <c r="J450" s="326"/>
      <c r="K450" s="172"/>
      <c r="L450" s="32"/>
      <c r="M450" s="32"/>
      <c r="N450" s="60"/>
      <c r="O450" s="60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  <c r="AB450" s="32"/>
      <c r="AC450" s="32"/>
      <c r="AD450" s="32"/>
      <c r="AE450" s="32"/>
      <c r="AF450" s="32"/>
      <c r="AG450" s="32"/>
      <c r="AH450" s="32"/>
      <c r="AI450" s="32"/>
      <c r="AJ450" s="32"/>
      <c r="AK450" s="32"/>
      <c r="AL450" s="32"/>
      <c r="AM450" s="32"/>
      <c r="AN450" s="32"/>
      <c r="AO450" s="32"/>
      <c r="AP450" s="32"/>
      <c r="AQ450" s="32"/>
      <c r="AR450" s="32"/>
      <c r="AS450" s="32"/>
      <c r="AT450" s="32"/>
      <c r="AU450" s="32"/>
      <c r="AV450" s="32"/>
      <c r="AW450" s="32"/>
      <c r="AX450" s="32"/>
      <c r="AY450" s="32"/>
      <c r="AZ450" s="32"/>
      <c r="BA450" s="32"/>
      <c r="BB450" s="32"/>
      <c r="BC450" s="32"/>
      <c r="BD450" s="32"/>
      <c r="BE450" s="32"/>
      <c r="BF450" s="32"/>
      <c r="BG450" s="32"/>
      <c r="BH450" s="32"/>
      <c r="BI450" s="32"/>
      <c r="BJ450" s="32"/>
      <c r="BK450" s="32"/>
      <c r="BL450" s="32"/>
      <c r="BM450" s="32"/>
      <c r="BN450" s="32"/>
      <c r="BO450" s="32"/>
      <c r="BP450" s="32"/>
      <c r="BQ450" s="32"/>
      <c r="BR450" s="32"/>
      <c r="BS450" s="32"/>
      <c r="BT450" s="32"/>
      <c r="BU450" s="32"/>
      <c r="BV450" s="32"/>
      <c r="BW450" s="32"/>
      <c r="BX450" s="32"/>
    </row>
    <row r="451" spans="1:76" s="33" customFormat="1">
      <c r="A451" s="34" t="str">
        <f>IF(F451&lt;&gt;"",1+MAX($A$408:A450),"")</f>
        <v/>
      </c>
      <c r="B451" s="53"/>
      <c r="C451" s="168"/>
      <c r="D451" s="169"/>
      <c r="E451" s="32"/>
      <c r="F451" s="170"/>
      <c r="G451" s="171"/>
      <c r="H451" s="326"/>
      <c r="I451" s="172"/>
      <c r="J451" s="326"/>
      <c r="K451" s="172"/>
      <c r="L451" s="32"/>
      <c r="M451" s="32"/>
      <c r="N451" s="60"/>
      <c r="O451" s="60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  <c r="AB451" s="32"/>
      <c r="AC451" s="32"/>
      <c r="AD451" s="32"/>
      <c r="AE451" s="32"/>
      <c r="AF451" s="32"/>
      <c r="AG451" s="32"/>
      <c r="AH451" s="32"/>
      <c r="AI451" s="32"/>
      <c r="AJ451" s="32"/>
      <c r="AK451" s="32"/>
      <c r="AL451" s="32"/>
      <c r="AM451" s="32"/>
      <c r="AN451" s="32"/>
      <c r="AO451" s="32"/>
      <c r="AP451" s="32"/>
      <c r="AQ451" s="32"/>
      <c r="AR451" s="32"/>
      <c r="AS451" s="32"/>
      <c r="AT451" s="32"/>
      <c r="AU451" s="32"/>
      <c r="AV451" s="32"/>
      <c r="AW451" s="32"/>
      <c r="AX451" s="32"/>
      <c r="AY451" s="32"/>
      <c r="AZ451" s="32"/>
      <c r="BA451" s="32"/>
      <c r="BB451" s="32"/>
      <c r="BC451" s="32"/>
      <c r="BD451" s="32"/>
      <c r="BE451" s="32"/>
      <c r="BF451" s="32"/>
      <c r="BG451" s="32"/>
      <c r="BH451" s="32"/>
      <c r="BI451" s="32"/>
      <c r="BJ451" s="32"/>
      <c r="BK451" s="32"/>
      <c r="BL451" s="32"/>
      <c r="BM451" s="32"/>
      <c r="BN451" s="32"/>
      <c r="BO451" s="32"/>
      <c r="BP451" s="32"/>
      <c r="BQ451" s="32"/>
      <c r="BR451" s="32"/>
      <c r="BS451" s="32"/>
      <c r="BT451" s="32"/>
      <c r="BU451" s="32"/>
      <c r="BV451" s="32"/>
      <c r="BW451" s="32"/>
      <c r="BX451" s="32"/>
    </row>
    <row r="452" spans="1:76">
      <c r="A452" s="34" t="str">
        <f>IF(F452&lt;&gt;"",1+MAX($A$408:A451),"")</f>
        <v/>
      </c>
      <c r="N452" s="60"/>
      <c r="O452" s="60"/>
    </row>
    <row r="453" spans="1:76">
      <c r="A453" s="34" t="str">
        <f>IF(F453&lt;&gt;"",1+MAX($A$408:A452),"")</f>
        <v/>
      </c>
      <c r="N453" s="60"/>
      <c r="O453" s="60"/>
    </row>
    <row r="454" spans="1:76">
      <c r="A454" s="34" t="str">
        <f>IF(F454&lt;&gt;"",1+MAX($A$408:A453),"")</f>
        <v/>
      </c>
      <c r="N454" s="60"/>
      <c r="O454" s="60"/>
    </row>
    <row r="455" spans="1:76">
      <c r="A455" s="34" t="str">
        <f>IF(F455&lt;&gt;"",1+MAX($A$408:A454),"")</f>
        <v/>
      </c>
      <c r="N455" s="60"/>
      <c r="O455" s="60"/>
    </row>
    <row r="456" spans="1:76">
      <c r="A456" s="34" t="str">
        <f>IF(F456&lt;&gt;"",1+MAX($A$408:A455),"")</f>
        <v/>
      </c>
      <c r="N456" s="60"/>
      <c r="O456" s="60"/>
    </row>
    <row r="457" spans="1:76">
      <c r="A457" s="34" t="str">
        <f>IF(F457&lt;&gt;"",1+MAX($A$408:A456),"")</f>
        <v/>
      </c>
      <c r="N457" s="60"/>
      <c r="O457" s="60"/>
    </row>
    <row r="458" spans="1:76">
      <c r="A458" s="34" t="str">
        <f>IF(F458&lt;&gt;"",1+MAX($A$408:A457),"")</f>
        <v/>
      </c>
      <c r="N458" s="60"/>
      <c r="O458" s="60"/>
    </row>
    <row r="459" spans="1:76">
      <c r="A459" s="34" t="str">
        <f>IF(F459&lt;&gt;"",1+MAX($A$408:A458),"")</f>
        <v/>
      </c>
      <c r="N459" s="60"/>
      <c r="O459" s="60"/>
    </row>
    <row r="460" spans="1:76">
      <c r="A460" s="34" t="str">
        <f>IF(F460&lt;&gt;"",1+MAX($A$408:A459),"")</f>
        <v/>
      </c>
      <c r="N460" s="60"/>
      <c r="O460" s="60"/>
    </row>
    <row r="461" spans="1:76">
      <c r="A461" s="34" t="str">
        <f>IF(F461&lt;&gt;"",1+MAX($A$408:A460),"")</f>
        <v/>
      </c>
      <c r="N461" s="60"/>
      <c r="O461" s="60"/>
    </row>
    <row r="462" spans="1:76">
      <c r="A462" s="34" t="str">
        <f>IF(F462&lt;&gt;"",1+MAX($A$408:A461),"")</f>
        <v/>
      </c>
      <c r="N462" s="60"/>
      <c r="O462" s="60"/>
    </row>
    <row r="463" spans="1:76">
      <c r="A463" s="34" t="str">
        <f>IF(F463&lt;&gt;"",1+MAX($A$408:A462),"")</f>
        <v/>
      </c>
      <c r="N463" s="60"/>
      <c r="O463" s="60"/>
    </row>
    <row r="464" spans="1:76">
      <c r="A464" s="34" t="str">
        <f>IF(F464&lt;&gt;"",1+MAX($A$408:A463),"")</f>
        <v/>
      </c>
      <c r="N464" s="60"/>
      <c r="O464" s="60"/>
    </row>
    <row r="465" spans="1:15">
      <c r="A465" s="34" t="str">
        <f>IF(F465&lt;&gt;"",1+MAX($A$408:A464),"")</f>
        <v/>
      </c>
      <c r="N465" s="60"/>
      <c r="O465" s="60"/>
    </row>
    <row r="466" spans="1:15">
      <c r="A466" s="34" t="str">
        <f>IF(F466&lt;&gt;"",1+MAX($A$408:A465),"")</f>
        <v/>
      </c>
      <c r="N466" s="60"/>
      <c r="O466" s="60"/>
    </row>
    <row r="467" spans="1:15">
      <c r="A467" s="34" t="str">
        <f>IF(F467&lt;&gt;"",1+MAX($A$408:A466),"")</f>
        <v/>
      </c>
      <c r="N467" s="60"/>
      <c r="O467" s="60"/>
    </row>
    <row r="468" spans="1:15">
      <c r="A468" s="34" t="str">
        <f>IF(F468&lt;&gt;"",1+MAX($A$408:A467),"")</f>
        <v/>
      </c>
      <c r="N468" s="60"/>
      <c r="O468" s="60"/>
    </row>
    <row r="469" spans="1:15">
      <c r="A469" s="34" t="str">
        <f>IF(F469&lt;&gt;"",1+MAX($A$408:A468),"")</f>
        <v/>
      </c>
      <c r="N469" s="60"/>
      <c r="O469" s="60"/>
    </row>
    <row r="470" spans="1:15">
      <c r="A470" s="34" t="str">
        <f>IF(F470&lt;&gt;"",1+MAX($A$408:A469),"")</f>
        <v/>
      </c>
      <c r="N470" s="60"/>
      <c r="O470" s="60"/>
    </row>
    <row r="471" spans="1:15">
      <c r="A471" s="34" t="str">
        <f>IF(F471&lt;&gt;"",1+MAX($A$408:A470),"")</f>
        <v/>
      </c>
      <c r="N471" s="60"/>
      <c r="O471" s="60"/>
    </row>
    <row r="472" spans="1:15">
      <c r="A472" s="34" t="str">
        <f>IF(F472&lt;&gt;"",1+MAX($A$408:A471),"")</f>
        <v/>
      </c>
      <c r="N472" s="60"/>
      <c r="O472" s="60"/>
    </row>
    <row r="473" spans="1:15">
      <c r="A473" s="34" t="str">
        <f>IF(F473&lt;&gt;"",1+MAX($A$408:A472),"")</f>
        <v/>
      </c>
      <c r="N473" s="60"/>
      <c r="O473" s="60"/>
    </row>
    <row r="474" spans="1:15">
      <c r="A474" s="34" t="str">
        <f>IF(F474&lt;&gt;"",1+MAX($A$408:A473),"")</f>
        <v/>
      </c>
      <c r="N474" s="60"/>
      <c r="O474" s="60"/>
    </row>
    <row r="475" spans="1:15">
      <c r="A475" s="34" t="str">
        <f>IF(F475&lt;&gt;"",1+MAX($A$408:A474),"")</f>
        <v/>
      </c>
      <c r="N475" s="60"/>
      <c r="O475" s="60"/>
    </row>
    <row r="476" spans="1:15">
      <c r="A476" s="34" t="str">
        <f>IF(F476&lt;&gt;"",1+MAX($A$408:A475),"")</f>
        <v/>
      </c>
      <c r="N476" s="60"/>
      <c r="O476" s="60"/>
    </row>
    <row r="477" spans="1:15">
      <c r="A477" s="34" t="str">
        <f>IF(F477&lt;&gt;"",1+MAX($A$408:A476),"")</f>
        <v/>
      </c>
      <c r="N477" s="60"/>
      <c r="O477" s="60"/>
    </row>
    <row r="478" spans="1:15">
      <c r="A478" s="34" t="str">
        <f>IF(F478&lt;&gt;"",1+MAX($A$408:A477),"")</f>
        <v/>
      </c>
      <c r="N478" s="60"/>
      <c r="O478" s="60"/>
    </row>
    <row r="479" spans="1:15">
      <c r="A479" s="34" t="str">
        <f>IF(F479&lt;&gt;"",1+MAX($A$408:A478),"")</f>
        <v/>
      </c>
      <c r="N479" s="60"/>
      <c r="O479" s="60"/>
    </row>
    <row r="480" spans="1:15">
      <c r="A480" s="34" t="str">
        <f>IF(F480&lt;&gt;"",1+MAX($A$408:A479),"")</f>
        <v/>
      </c>
      <c r="N480" s="60"/>
      <c r="O480" s="60"/>
    </row>
    <row r="481" spans="1:15">
      <c r="A481" s="34" t="str">
        <f>IF(F481&lt;&gt;"",1+MAX($A$408:A480),"")</f>
        <v/>
      </c>
      <c r="N481" s="60"/>
      <c r="O481" s="60"/>
    </row>
    <row r="482" spans="1:15">
      <c r="A482" s="34" t="str">
        <f>IF(F482&lt;&gt;"",1+MAX($A$408:A481),"")</f>
        <v/>
      </c>
      <c r="N482" s="60"/>
      <c r="O482" s="60"/>
    </row>
    <row r="483" spans="1:15">
      <c r="A483" s="34" t="str">
        <f>IF(F483&lt;&gt;"",1+MAX($A$408:A482),"")</f>
        <v/>
      </c>
      <c r="N483" s="60"/>
      <c r="O483" s="60"/>
    </row>
    <row r="484" spans="1:15">
      <c r="A484" s="34" t="str">
        <f>IF(F484&lt;&gt;"",1+MAX($A$408:A483),"")</f>
        <v/>
      </c>
      <c r="N484" s="60"/>
      <c r="O484" s="60"/>
    </row>
    <row r="485" spans="1:15">
      <c r="A485" s="34" t="str">
        <f>IF(F485&lt;&gt;"",1+MAX($A$408:A484),"")</f>
        <v/>
      </c>
      <c r="N485" s="60"/>
      <c r="O485" s="60"/>
    </row>
    <row r="486" spans="1:15">
      <c r="A486" s="34" t="str">
        <f>IF(F486&lt;&gt;"",1+MAX($A$408:A485),"")</f>
        <v/>
      </c>
      <c r="N486" s="60"/>
      <c r="O486" s="60"/>
    </row>
    <row r="487" spans="1:15">
      <c r="A487" s="34" t="str">
        <f>IF(F487&lt;&gt;"",1+MAX($A$408:A486),"")</f>
        <v/>
      </c>
      <c r="N487" s="60"/>
      <c r="O487" s="60"/>
    </row>
    <row r="488" spans="1:15">
      <c r="A488" s="34" t="str">
        <f>IF(F488&lt;&gt;"",1+MAX($A$408:A487),"")</f>
        <v/>
      </c>
      <c r="N488" s="60"/>
      <c r="O488" s="60"/>
    </row>
    <row r="489" spans="1:15">
      <c r="A489" s="34" t="str">
        <f>IF(F489&lt;&gt;"",1+MAX($A$408:A488),"")</f>
        <v/>
      </c>
      <c r="N489" s="60"/>
      <c r="O489" s="60"/>
    </row>
    <row r="490" spans="1:15">
      <c r="A490" s="34" t="str">
        <f>IF(F490&lt;&gt;"",1+MAX($A$408:A489),"")</f>
        <v/>
      </c>
      <c r="N490" s="60"/>
      <c r="O490" s="60"/>
    </row>
    <row r="491" spans="1:15">
      <c r="A491" s="34" t="str">
        <f>IF(F491&lt;&gt;"",1+MAX($A$408:A490),"")</f>
        <v/>
      </c>
      <c r="N491" s="60"/>
      <c r="O491" s="60"/>
    </row>
    <row r="492" spans="1:15">
      <c r="A492" s="34" t="str">
        <f>IF(F492&lt;&gt;"",1+MAX($A$408:A491),"")</f>
        <v/>
      </c>
      <c r="N492" s="60"/>
      <c r="O492" s="60"/>
    </row>
    <row r="493" spans="1:15">
      <c r="A493" s="34" t="str">
        <f>IF(F493&lt;&gt;"",1+MAX($A$408:A492),"")</f>
        <v/>
      </c>
      <c r="N493" s="60"/>
      <c r="O493" s="60"/>
    </row>
    <row r="494" spans="1:15">
      <c r="A494" s="34" t="str">
        <f>IF(F494&lt;&gt;"",1+MAX($A$408:A493),"")</f>
        <v/>
      </c>
      <c r="N494" s="60"/>
      <c r="O494" s="60"/>
    </row>
    <row r="495" spans="1:15">
      <c r="A495" s="34" t="str">
        <f>IF(F495&lt;&gt;"",1+MAX($A$408:A494),"")</f>
        <v/>
      </c>
      <c r="N495" s="60"/>
      <c r="O495" s="60"/>
    </row>
    <row r="496" spans="1:15">
      <c r="A496" s="34" t="str">
        <f>IF(F496&lt;&gt;"",1+MAX($A$408:A495),"")</f>
        <v/>
      </c>
      <c r="N496" s="60"/>
      <c r="O496" s="60"/>
    </row>
    <row r="497" spans="1:15">
      <c r="A497" s="34" t="str">
        <f>IF(F497&lt;&gt;"",1+MAX($A$408:A496),"")</f>
        <v/>
      </c>
      <c r="N497" s="60"/>
      <c r="O497" s="60"/>
    </row>
    <row r="498" spans="1:15">
      <c r="A498" s="34" t="str">
        <f>IF(F498&lt;&gt;"",1+MAX($A$408:A497),"")</f>
        <v/>
      </c>
      <c r="N498" s="60"/>
      <c r="O498" s="60"/>
    </row>
    <row r="499" spans="1:15">
      <c r="A499" s="34" t="str">
        <f>IF(F499&lt;&gt;"",1+MAX($A$408:A498),"")</f>
        <v/>
      </c>
      <c r="N499" s="60"/>
      <c r="O499" s="60"/>
    </row>
    <row r="500" spans="1:15">
      <c r="A500" s="34" t="str">
        <f>IF(F500&lt;&gt;"",1+MAX($A$408:A499),"")</f>
        <v/>
      </c>
      <c r="N500" s="60"/>
      <c r="O500" s="60"/>
    </row>
    <row r="501" spans="1:15">
      <c r="A501" s="34" t="str">
        <f>IF(F501&lt;&gt;"",1+MAX($A$408:A500),"")</f>
        <v/>
      </c>
      <c r="N501" s="60"/>
      <c r="O501" s="60"/>
    </row>
    <row r="502" spans="1:15">
      <c r="A502" s="34" t="str">
        <f>IF(F502&lt;&gt;"",1+MAX($A$408:A501),"")</f>
        <v/>
      </c>
      <c r="N502" s="60"/>
      <c r="O502" s="60"/>
    </row>
    <row r="503" spans="1:15">
      <c r="A503" s="34" t="str">
        <f>IF(F503&lt;&gt;"",1+MAX($A$408:A502),"")</f>
        <v/>
      </c>
      <c r="N503" s="60"/>
      <c r="O503" s="60"/>
    </row>
    <row r="504" spans="1:15">
      <c r="A504" s="34" t="str">
        <f>IF(F504&lt;&gt;"",1+MAX($A$408:A503),"")</f>
        <v/>
      </c>
      <c r="N504" s="60"/>
      <c r="O504" s="60"/>
    </row>
    <row r="505" spans="1:15">
      <c r="A505" s="34" t="str">
        <f>IF(F505&lt;&gt;"",1+MAX($A$408:A504),"")</f>
        <v/>
      </c>
      <c r="N505" s="60"/>
      <c r="O505" s="60"/>
    </row>
    <row r="506" spans="1:15">
      <c r="A506" s="34" t="str">
        <f>IF(F506&lt;&gt;"",1+MAX($A$408:A505),"")</f>
        <v/>
      </c>
      <c r="N506" s="60"/>
      <c r="O506" s="60"/>
    </row>
    <row r="507" spans="1:15">
      <c r="A507" s="34" t="str">
        <f>IF(F507&lt;&gt;"",1+MAX($A$408:A506),"")</f>
        <v/>
      </c>
      <c r="N507" s="60"/>
      <c r="O507" s="60"/>
    </row>
    <row r="508" spans="1:15">
      <c r="A508" s="34" t="str">
        <f>IF(F508&lt;&gt;"",1+MAX($A$408:A507),"")</f>
        <v/>
      </c>
      <c r="N508" s="60"/>
      <c r="O508" s="60"/>
    </row>
    <row r="509" spans="1:15">
      <c r="A509" s="34" t="str">
        <f>IF(F509&lt;&gt;"",1+MAX($A$408:A508),"")</f>
        <v/>
      </c>
      <c r="N509" s="60"/>
      <c r="O509" s="60"/>
    </row>
    <row r="510" spans="1:15">
      <c r="A510" s="34" t="str">
        <f>IF(F510&lt;&gt;"",1+MAX($A$408:A509),"")</f>
        <v/>
      </c>
      <c r="N510" s="60"/>
      <c r="O510" s="60"/>
    </row>
    <row r="511" spans="1:15">
      <c r="A511" s="34" t="str">
        <f>IF(F511&lt;&gt;"",1+MAX($A$408:A510),"")</f>
        <v/>
      </c>
      <c r="N511" s="60"/>
      <c r="O511" s="60"/>
    </row>
    <row r="512" spans="1:15">
      <c r="A512" s="34" t="str">
        <f>IF(F512&lt;&gt;"",1+MAX($A$408:A511),"")</f>
        <v/>
      </c>
      <c r="N512" s="60"/>
      <c r="O512" s="60"/>
    </row>
    <row r="513" spans="1:15">
      <c r="A513" s="34" t="str">
        <f>IF(F513&lt;&gt;"",1+MAX($A$408:A512),"")</f>
        <v/>
      </c>
      <c r="N513" s="60"/>
      <c r="O513" s="60"/>
    </row>
    <row r="514" spans="1:15">
      <c r="A514" s="34" t="str">
        <f>IF(F514&lt;&gt;"",1+MAX($A$408:A513),"")</f>
        <v/>
      </c>
      <c r="N514" s="60"/>
      <c r="O514" s="60"/>
    </row>
    <row r="515" spans="1:15">
      <c r="A515" s="34" t="str">
        <f>IF(F515&lt;&gt;"",1+MAX($A$408:A514),"")</f>
        <v/>
      </c>
      <c r="N515" s="60"/>
      <c r="O515" s="60"/>
    </row>
    <row r="516" spans="1:15">
      <c r="A516" s="34" t="str">
        <f>IF(F516&lt;&gt;"",1+MAX($A$408:A515),"")</f>
        <v/>
      </c>
      <c r="N516" s="60"/>
      <c r="O516" s="60"/>
    </row>
    <row r="517" spans="1:15">
      <c r="A517" s="34" t="str">
        <f>IF(F517&lt;&gt;"",1+MAX($A$408:A516),"")</f>
        <v/>
      </c>
      <c r="N517" s="60"/>
      <c r="O517" s="60"/>
    </row>
    <row r="518" spans="1:15">
      <c r="A518" s="34" t="str">
        <f>IF(F518&lt;&gt;"",1+MAX($A$408:A517),"")</f>
        <v/>
      </c>
      <c r="N518" s="60"/>
      <c r="O518" s="60"/>
    </row>
    <row r="519" spans="1:15">
      <c r="A519" s="34" t="str">
        <f>IF(F519&lt;&gt;"",1+MAX($A$408:A518),"")</f>
        <v/>
      </c>
      <c r="N519" s="60"/>
      <c r="O519" s="60"/>
    </row>
    <row r="520" spans="1:15">
      <c r="A520" s="34" t="str">
        <f>IF(F520&lt;&gt;"",1+MAX($A$408:A519),"")</f>
        <v/>
      </c>
      <c r="N520" s="60"/>
      <c r="O520" s="60"/>
    </row>
    <row r="521" spans="1:15">
      <c r="A521" s="34" t="str">
        <f>IF(F521&lt;&gt;"",1+MAX($A$408:A520),"")</f>
        <v/>
      </c>
      <c r="N521" s="60"/>
      <c r="O521" s="60"/>
    </row>
    <row r="522" spans="1:15">
      <c r="A522" s="34" t="str">
        <f>IF(F522&lt;&gt;"",1+MAX($A$408:A521),"")</f>
        <v/>
      </c>
      <c r="N522" s="60"/>
      <c r="O522" s="60"/>
    </row>
    <row r="523" spans="1:15">
      <c r="A523" s="34" t="str">
        <f>IF(F523&lt;&gt;"",1+MAX($A$408:A522),"")</f>
        <v/>
      </c>
      <c r="N523" s="60"/>
      <c r="O523" s="60"/>
    </row>
    <row r="524" spans="1:15">
      <c r="A524" s="34" t="str">
        <f>IF(F524&lt;&gt;"",1+MAX($A$408:A523),"")</f>
        <v/>
      </c>
      <c r="N524" s="60"/>
      <c r="O524" s="60"/>
    </row>
    <row r="525" spans="1:15">
      <c r="A525" s="34" t="str">
        <f>IF(F525&lt;&gt;"",1+MAX($A$408:A524),"")</f>
        <v/>
      </c>
      <c r="N525" s="60"/>
      <c r="O525" s="60"/>
    </row>
    <row r="526" spans="1:15">
      <c r="A526" s="34" t="str">
        <f>IF(F526&lt;&gt;"",1+MAX($A$408:A525),"")</f>
        <v/>
      </c>
      <c r="N526" s="60"/>
      <c r="O526" s="60"/>
    </row>
    <row r="527" spans="1:15">
      <c r="A527" s="34" t="str">
        <f>IF(F527&lt;&gt;"",1+MAX($A$408:A526),"")</f>
        <v/>
      </c>
      <c r="N527" s="60"/>
      <c r="O527" s="60"/>
    </row>
    <row r="528" spans="1:15">
      <c r="A528" s="34" t="str">
        <f>IF(F528&lt;&gt;"",1+MAX($A$408:A527),"")</f>
        <v/>
      </c>
      <c r="N528" s="60"/>
      <c r="O528" s="60"/>
    </row>
    <row r="529" spans="1:15">
      <c r="A529" s="34" t="str">
        <f>IF(F529&lt;&gt;"",1+MAX($A$408:A528),"")</f>
        <v/>
      </c>
      <c r="N529" s="60"/>
      <c r="O529" s="60"/>
    </row>
    <row r="530" spans="1:15">
      <c r="A530" s="34" t="str">
        <f>IF(F530&lt;&gt;"",1+MAX($A$408:A529),"")</f>
        <v/>
      </c>
      <c r="N530" s="60"/>
      <c r="O530" s="60"/>
    </row>
    <row r="531" spans="1:15">
      <c r="A531" s="34" t="str">
        <f>IF(F531&lt;&gt;"",1+MAX($A$408:A530),"")</f>
        <v/>
      </c>
      <c r="N531" s="60"/>
      <c r="O531" s="60"/>
    </row>
    <row r="532" spans="1:15">
      <c r="A532" s="34" t="str">
        <f>IF(F532&lt;&gt;"",1+MAX($A$408:A531),"")</f>
        <v/>
      </c>
      <c r="N532" s="60"/>
      <c r="O532" s="60"/>
    </row>
    <row r="533" spans="1:15">
      <c r="A533" s="34" t="str">
        <f>IF(F533&lt;&gt;"",1+MAX($A$408:A532),"")</f>
        <v/>
      </c>
      <c r="N533" s="60"/>
      <c r="O533" s="60"/>
    </row>
    <row r="534" spans="1:15">
      <c r="A534" s="34" t="str">
        <f>IF(F534&lt;&gt;"",1+MAX($A$408:A533),"")</f>
        <v/>
      </c>
      <c r="N534" s="60"/>
      <c r="O534" s="60"/>
    </row>
    <row r="535" spans="1:15">
      <c r="A535" s="34" t="str">
        <f>IF(F535&lt;&gt;"",1+MAX($A$408:A534),"")</f>
        <v/>
      </c>
      <c r="N535" s="60"/>
      <c r="O535" s="60"/>
    </row>
    <row r="536" spans="1:15">
      <c r="A536" s="34" t="str">
        <f>IF(F536&lt;&gt;"",1+MAX($A$408:A535),"")</f>
        <v/>
      </c>
      <c r="N536" s="60"/>
      <c r="O536" s="60"/>
    </row>
    <row r="537" spans="1:15">
      <c r="A537" s="34" t="str">
        <f>IF(F537&lt;&gt;"",1+MAX($A$408:A536),"")</f>
        <v/>
      </c>
      <c r="N537" s="60"/>
      <c r="O537" s="60"/>
    </row>
    <row r="538" spans="1:15">
      <c r="A538" s="34" t="str">
        <f>IF(F538&lt;&gt;"",1+MAX($A$408:A537),"")</f>
        <v/>
      </c>
      <c r="N538" s="60"/>
      <c r="O538" s="60"/>
    </row>
    <row r="539" spans="1:15">
      <c r="A539" s="34" t="str">
        <f>IF(F539&lt;&gt;"",1+MAX($A$408:A538),"")</f>
        <v/>
      </c>
      <c r="N539" s="60"/>
      <c r="O539" s="60"/>
    </row>
    <row r="540" spans="1:15">
      <c r="A540" s="34" t="str">
        <f>IF(F540&lt;&gt;"",1+MAX($A$408:A539),"")</f>
        <v/>
      </c>
      <c r="N540" s="60"/>
      <c r="O540" s="60"/>
    </row>
    <row r="541" spans="1:15">
      <c r="A541" s="34" t="str">
        <f>IF(F541&lt;&gt;"",1+MAX($A$408:A540),"")</f>
        <v/>
      </c>
      <c r="N541" s="60"/>
      <c r="O541" s="60"/>
    </row>
    <row r="542" spans="1:15">
      <c r="A542" s="34" t="str">
        <f>IF(F542&lt;&gt;"",1+MAX($A$408:A541),"")</f>
        <v/>
      </c>
      <c r="N542" s="60"/>
      <c r="O542" s="60"/>
    </row>
    <row r="543" spans="1:15">
      <c r="A543" s="34" t="str">
        <f>IF(F543&lt;&gt;"",1+MAX($A$408:A542),"")</f>
        <v/>
      </c>
      <c r="N543" s="60"/>
      <c r="O543" s="60"/>
    </row>
    <row r="544" spans="1:15">
      <c r="A544" s="34" t="str">
        <f>IF(F544&lt;&gt;"",1+MAX($A$408:A543),"")</f>
        <v/>
      </c>
      <c r="N544" s="60"/>
      <c r="O544" s="60"/>
    </row>
    <row r="545" spans="1:15">
      <c r="A545" s="34" t="str">
        <f>IF(F545&lt;&gt;"",1+MAX($A$408:A544),"")</f>
        <v/>
      </c>
      <c r="N545" s="60"/>
      <c r="O545" s="60"/>
    </row>
    <row r="546" spans="1:15">
      <c r="A546" s="34" t="str">
        <f>IF(F546&lt;&gt;"",1+MAX($A$408:A545),"")</f>
        <v/>
      </c>
      <c r="N546" s="60"/>
      <c r="O546" s="60"/>
    </row>
    <row r="547" spans="1:15">
      <c r="A547" s="34" t="str">
        <f>IF(F547&lt;&gt;"",1+MAX($A$408:A546),"")</f>
        <v/>
      </c>
      <c r="N547" s="60"/>
      <c r="O547" s="60"/>
    </row>
    <row r="548" spans="1:15">
      <c r="A548" s="34" t="str">
        <f>IF(F548&lt;&gt;"",1+MAX($A$408:A547),"")</f>
        <v/>
      </c>
      <c r="N548" s="60"/>
      <c r="O548" s="60"/>
    </row>
    <row r="549" spans="1:15">
      <c r="A549" s="34" t="str">
        <f>IF(F549&lt;&gt;"",1+MAX($A$408:A548),"")</f>
        <v/>
      </c>
      <c r="N549" s="60"/>
      <c r="O549" s="60"/>
    </row>
    <row r="550" spans="1:15">
      <c r="A550" s="34" t="str">
        <f>IF(F550&lt;&gt;"",1+MAX($A$408:A549),"")</f>
        <v/>
      </c>
      <c r="N550" s="60"/>
      <c r="O550" s="60"/>
    </row>
    <row r="551" spans="1:15">
      <c r="A551" s="34" t="str">
        <f>IF(F551&lt;&gt;"",1+MAX($A$408:A550),"")</f>
        <v/>
      </c>
      <c r="N551" s="60"/>
      <c r="O551" s="60"/>
    </row>
    <row r="552" spans="1:15">
      <c r="A552" s="34" t="str">
        <f>IF(F552&lt;&gt;"",1+MAX($A$408:A551),"")</f>
        <v/>
      </c>
      <c r="N552" s="60"/>
      <c r="O552" s="60"/>
    </row>
    <row r="553" spans="1:15">
      <c r="A553" s="34" t="str">
        <f>IF(F553&lt;&gt;"",1+MAX($A$408:A552),"")</f>
        <v/>
      </c>
      <c r="N553" s="60"/>
      <c r="O553" s="60"/>
    </row>
    <row r="554" spans="1:15">
      <c r="A554" s="34" t="str">
        <f>IF(F554&lt;&gt;"",1+MAX($A$408:A553),"")</f>
        <v/>
      </c>
      <c r="N554" s="60"/>
      <c r="O554" s="60"/>
    </row>
    <row r="555" spans="1:15">
      <c r="A555" s="34" t="str">
        <f>IF(F555&lt;&gt;"",1+MAX($A$408:A554),"")</f>
        <v/>
      </c>
      <c r="N555" s="60"/>
      <c r="O555" s="60"/>
    </row>
    <row r="556" spans="1:15">
      <c r="A556" s="34" t="str">
        <f>IF(F556&lt;&gt;"",1+MAX($A$408:A555),"")</f>
        <v/>
      </c>
      <c r="N556" s="60"/>
      <c r="O556" s="60"/>
    </row>
    <row r="557" spans="1:15">
      <c r="A557" s="34" t="str">
        <f>IF(F557&lt;&gt;"",1+MAX($A$408:A556),"")</f>
        <v/>
      </c>
      <c r="N557" s="60"/>
      <c r="O557" s="60"/>
    </row>
    <row r="558" spans="1:15">
      <c r="A558" s="34" t="str">
        <f>IF(F558&lt;&gt;"",1+MAX($A$408:A557),"")</f>
        <v/>
      </c>
      <c r="N558" s="60"/>
      <c r="O558" s="60"/>
    </row>
    <row r="559" spans="1:15">
      <c r="A559" s="34" t="str">
        <f>IF(F559&lt;&gt;"",1+MAX($A$408:A558),"")</f>
        <v/>
      </c>
      <c r="N559" s="60"/>
      <c r="O559" s="60"/>
    </row>
    <row r="560" spans="1:15">
      <c r="A560" s="34" t="str">
        <f>IF(F560&lt;&gt;"",1+MAX($A$408:A559),"")</f>
        <v/>
      </c>
      <c r="N560" s="60"/>
      <c r="O560" s="60"/>
    </row>
    <row r="561" spans="1:15">
      <c r="A561" s="34" t="str">
        <f>IF(F561&lt;&gt;"",1+MAX($A$408:A560),"")</f>
        <v/>
      </c>
      <c r="N561" s="60"/>
      <c r="O561" s="60"/>
    </row>
    <row r="562" spans="1:15">
      <c r="A562" s="34" t="str">
        <f>IF(F562&lt;&gt;"",1+MAX($A$408:A561),"")</f>
        <v/>
      </c>
      <c r="N562" s="60"/>
      <c r="O562" s="60"/>
    </row>
    <row r="563" spans="1:15">
      <c r="A563" s="34" t="str">
        <f>IF(F563&lt;&gt;"",1+MAX($A$408:A562),"")</f>
        <v/>
      </c>
      <c r="N563" s="60"/>
      <c r="O563" s="60"/>
    </row>
    <row r="564" spans="1:15">
      <c r="A564" s="34" t="str">
        <f>IF(F564&lt;&gt;"",1+MAX($A$408:A563),"")</f>
        <v/>
      </c>
      <c r="N564" s="60"/>
      <c r="O564" s="60"/>
    </row>
    <row r="565" spans="1:15">
      <c r="A565" s="34" t="str">
        <f>IF(F565&lt;&gt;"",1+MAX($A$408:A564),"")</f>
        <v/>
      </c>
      <c r="N565" s="60"/>
      <c r="O565" s="60"/>
    </row>
    <row r="566" spans="1:15">
      <c r="A566" s="34" t="str">
        <f>IF(F566&lt;&gt;"",1+MAX($A$408:A565),"")</f>
        <v/>
      </c>
      <c r="N566" s="60"/>
      <c r="O566" s="60"/>
    </row>
    <row r="567" spans="1:15">
      <c r="A567" s="34" t="str">
        <f>IF(F567&lt;&gt;"",1+MAX($A$408:A566),"")</f>
        <v/>
      </c>
      <c r="N567" s="60"/>
      <c r="O567" s="60"/>
    </row>
    <row r="568" spans="1:15">
      <c r="N568" s="60"/>
      <c r="O568" s="60"/>
    </row>
    <row r="569" spans="1:15">
      <c r="N569" s="60"/>
      <c r="O569" s="60"/>
    </row>
    <row r="570" spans="1:15">
      <c r="N570" s="60"/>
      <c r="O570" s="60"/>
    </row>
    <row r="571" spans="1:15">
      <c r="N571" s="60"/>
      <c r="O571" s="60"/>
    </row>
    <row r="572" spans="1:15">
      <c r="N572" s="60"/>
      <c r="O572" s="60"/>
    </row>
    <row r="573" spans="1:15">
      <c r="N573" s="60"/>
      <c r="O573" s="60"/>
    </row>
    <row r="574" spans="1:15">
      <c r="N574" s="60"/>
      <c r="O574" s="60"/>
    </row>
    <row r="575" spans="1:15">
      <c r="N575" s="60"/>
      <c r="O575" s="60"/>
    </row>
    <row r="576" spans="1:15">
      <c r="N576" s="60"/>
      <c r="O576" s="60"/>
    </row>
    <row r="577" spans="14:15">
      <c r="N577" s="60"/>
      <c r="O577" s="60"/>
    </row>
    <row r="578" spans="14:15">
      <c r="N578" s="60"/>
      <c r="O578" s="60"/>
    </row>
    <row r="579" spans="14:15">
      <c r="N579" s="60"/>
      <c r="O579" s="60"/>
    </row>
    <row r="580" spans="14:15">
      <c r="N580" s="60"/>
      <c r="O580" s="60"/>
    </row>
    <row r="581" spans="14:15">
      <c r="N581" s="60"/>
      <c r="O581" s="60"/>
    </row>
    <row r="582" spans="14:15">
      <c r="N582" s="60"/>
      <c r="O582" s="60"/>
    </row>
    <row r="583" spans="14:15">
      <c r="N583" s="60"/>
      <c r="O583" s="60"/>
    </row>
    <row r="584" spans="14:15">
      <c r="N584" s="60"/>
      <c r="O584" s="60"/>
    </row>
    <row r="585" spans="14:15">
      <c r="N585" s="60"/>
      <c r="O585" s="60"/>
    </row>
    <row r="586" spans="14:15">
      <c r="N586" s="60"/>
      <c r="O586" s="60"/>
    </row>
    <row r="587" spans="14:15">
      <c r="N587" s="60"/>
      <c r="O587" s="60"/>
    </row>
    <row r="588" spans="14:15">
      <c r="N588" s="60"/>
      <c r="O588" s="60"/>
    </row>
    <row r="589" spans="14:15">
      <c r="N589" s="60"/>
      <c r="O589" s="60"/>
    </row>
    <row r="590" spans="14:15">
      <c r="N590" s="60"/>
      <c r="O590" s="60"/>
    </row>
    <row r="591" spans="14:15">
      <c r="N591" s="60"/>
      <c r="O591" s="60"/>
    </row>
    <row r="592" spans="14:15">
      <c r="N592" s="60"/>
      <c r="O592" s="60"/>
    </row>
    <row r="593" spans="14:15">
      <c r="N593" s="60"/>
      <c r="O593" s="60"/>
    </row>
    <row r="594" spans="14:15">
      <c r="N594" s="60"/>
      <c r="O594" s="60"/>
    </row>
    <row r="595" spans="14:15">
      <c r="N595" s="60"/>
      <c r="O595" s="60"/>
    </row>
    <row r="596" spans="14:15">
      <c r="N596" s="60"/>
      <c r="O596" s="60"/>
    </row>
    <row r="597" spans="14:15">
      <c r="N597" s="60"/>
      <c r="O597" s="60"/>
    </row>
    <row r="598" spans="14:15">
      <c r="N598" s="60"/>
      <c r="O598" s="60"/>
    </row>
    <row r="599" spans="14:15">
      <c r="N599" s="60"/>
      <c r="O599" s="60"/>
    </row>
    <row r="600" spans="14:15">
      <c r="N600" s="60"/>
      <c r="O600" s="60"/>
    </row>
    <row r="601" spans="14:15">
      <c r="N601" s="60"/>
      <c r="O601" s="60"/>
    </row>
    <row r="602" spans="14:15">
      <c r="N602" s="60"/>
      <c r="O602" s="60"/>
    </row>
    <row r="603" spans="14:15">
      <c r="N603" s="60"/>
      <c r="O603" s="60"/>
    </row>
    <row r="604" spans="14:15">
      <c r="N604" s="60"/>
      <c r="O604" s="60"/>
    </row>
    <row r="605" spans="14:15">
      <c r="N605" s="60"/>
      <c r="O605" s="60"/>
    </row>
    <row r="606" spans="14:15">
      <c r="N606" s="60"/>
      <c r="O606" s="60"/>
    </row>
    <row r="607" spans="14:15">
      <c r="N607" s="60"/>
      <c r="O607" s="60"/>
    </row>
    <row r="608" spans="14:15">
      <c r="N608" s="60"/>
      <c r="O608" s="60"/>
    </row>
    <row r="609" spans="14:15">
      <c r="N609" s="60"/>
      <c r="O609" s="60"/>
    </row>
    <row r="610" spans="14:15">
      <c r="N610" s="60"/>
      <c r="O610" s="60"/>
    </row>
    <row r="611" spans="14:15">
      <c r="N611" s="60"/>
      <c r="O611" s="60"/>
    </row>
    <row r="612" spans="14:15">
      <c r="N612" s="60"/>
      <c r="O612" s="60"/>
    </row>
    <row r="613" spans="14:15">
      <c r="N613" s="60"/>
      <c r="O613" s="60"/>
    </row>
    <row r="614" spans="14:15">
      <c r="N614" s="60"/>
      <c r="O614" s="60"/>
    </row>
    <row r="615" spans="14:15">
      <c r="N615" s="60"/>
      <c r="O615" s="60"/>
    </row>
    <row r="616" spans="14:15">
      <c r="N616" s="60"/>
      <c r="O616" s="60"/>
    </row>
    <row r="617" spans="14:15">
      <c r="N617" s="60"/>
      <c r="O617" s="60"/>
    </row>
    <row r="618" spans="14:15">
      <c r="N618" s="60"/>
      <c r="O618" s="60"/>
    </row>
    <row r="619" spans="14:15">
      <c r="N619" s="60"/>
      <c r="O619" s="60"/>
    </row>
    <row r="620" spans="14:15">
      <c r="N620" s="60"/>
      <c r="O620" s="60"/>
    </row>
    <row r="621" spans="14:15">
      <c r="N621" s="60"/>
      <c r="O621" s="60"/>
    </row>
    <row r="622" spans="14:15">
      <c r="N622" s="60"/>
      <c r="O622" s="60"/>
    </row>
    <row r="623" spans="14:15">
      <c r="N623" s="60"/>
      <c r="O623" s="60"/>
    </row>
    <row r="624" spans="14:15">
      <c r="N624" s="60"/>
      <c r="O624" s="60"/>
    </row>
    <row r="625" spans="14:15">
      <c r="N625" s="60"/>
      <c r="O625" s="60"/>
    </row>
    <row r="626" spans="14:15">
      <c r="N626" s="60"/>
      <c r="O626" s="60"/>
    </row>
    <row r="627" spans="14:15">
      <c r="N627" s="60"/>
      <c r="O627" s="60"/>
    </row>
    <row r="628" spans="14:15">
      <c r="N628" s="60"/>
      <c r="O628" s="60"/>
    </row>
    <row r="629" spans="14:15">
      <c r="N629" s="60"/>
      <c r="O629" s="60"/>
    </row>
    <row r="630" spans="14:15">
      <c r="N630" s="60"/>
      <c r="O630" s="60"/>
    </row>
    <row r="631" spans="14:15">
      <c r="N631" s="60"/>
      <c r="O631" s="60"/>
    </row>
    <row r="632" spans="14:15">
      <c r="N632" s="60"/>
      <c r="O632" s="60"/>
    </row>
    <row r="633" spans="14:15">
      <c r="N633" s="60"/>
      <c r="O633" s="60"/>
    </row>
    <row r="634" spans="14:15">
      <c r="N634" s="60"/>
      <c r="O634" s="60"/>
    </row>
    <row r="635" spans="14:15">
      <c r="N635" s="60"/>
      <c r="O635" s="60"/>
    </row>
    <row r="636" spans="14:15">
      <c r="N636" s="60"/>
      <c r="O636" s="60"/>
    </row>
    <row r="637" spans="14:15">
      <c r="N637" s="60"/>
      <c r="O637" s="60"/>
    </row>
    <row r="638" spans="14:15">
      <c r="N638" s="60"/>
      <c r="O638" s="60"/>
    </row>
    <row r="639" spans="14:15">
      <c r="N639" s="60"/>
      <c r="O639" s="60"/>
    </row>
    <row r="640" spans="14:15">
      <c r="N640" s="60"/>
      <c r="O640" s="60"/>
    </row>
    <row r="641" spans="14:15">
      <c r="N641" s="60"/>
      <c r="O641" s="60"/>
    </row>
    <row r="642" spans="14:15">
      <c r="N642" s="60"/>
      <c r="O642" s="60"/>
    </row>
    <row r="643" spans="14:15">
      <c r="N643" s="60"/>
      <c r="O643" s="60"/>
    </row>
    <row r="644" spans="14:15">
      <c r="N644" s="60"/>
      <c r="O644" s="60"/>
    </row>
    <row r="645" spans="14:15">
      <c r="N645" s="60"/>
      <c r="O645" s="60"/>
    </row>
    <row r="646" spans="14:15">
      <c r="N646" s="60"/>
      <c r="O646" s="60"/>
    </row>
    <row r="647" spans="14:15">
      <c r="N647" s="60"/>
      <c r="O647" s="60"/>
    </row>
    <row r="648" spans="14:15">
      <c r="N648" s="60"/>
      <c r="O648" s="60"/>
    </row>
    <row r="649" spans="14:15">
      <c r="N649" s="60"/>
      <c r="O649" s="60"/>
    </row>
    <row r="650" spans="14:15">
      <c r="N650" s="60"/>
      <c r="O650" s="60"/>
    </row>
    <row r="651" spans="14:15">
      <c r="N651" s="60"/>
      <c r="O651" s="60"/>
    </row>
    <row r="652" spans="14:15">
      <c r="N652" s="60"/>
      <c r="O652" s="60"/>
    </row>
    <row r="653" spans="14:15">
      <c r="N653" s="60"/>
      <c r="O653" s="60"/>
    </row>
    <row r="654" spans="14:15">
      <c r="N654" s="60"/>
      <c r="O654" s="60"/>
    </row>
    <row r="655" spans="14:15">
      <c r="N655" s="60"/>
      <c r="O655" s="60"/>
    </row>
    <row r="656" spans="14:15">
      <c r="N656" s="60"/>
      <c r="O656" s="60"/>
    </row>
    <row r="657" spans="14:15">
      <c r="N657" s="60"/>
      <c r="O657" s="60"/>
    </row>
    <row r="658" spans="14:15">
      <c r="N658" s="60"/>
      <c r="O658" s="60"/>
    </row>
    <row r="659" spans="14:15">
      <c r="N659" s="60"/>
      <c r="O659" s="60"/>
    </row>
    <row r="660" spans="14:15">
      <c r="N660" s="60"/>
      <c r="O660" s="60"/>
    </row>
    <row r="661" spans="14:15">
      <c r="N661" s="60"/>
      <c r="O661" s="60"/>
    </row>
    <row r="662" spans="14:15">
      <c r="N662" s="60"/>
      <c r="O662" s="60"/>
    </row>
    <row r="663" spans="14:15">
      <c r="N663" s="60"/>
      <c r="O663" s="60"/>
    </row>
    <row r="664" spans="14:15">
      <c r="N664" s="60"/>
      <c r="O664" s="60"/>
    </row>
    <row r="665" spans="14:15">
      <c r="N665" s="60"/>
      <c r="O665" s="60"/>
    </row>
    <row r="666" spans="14:15">
      <c r="N666" s="60"/>
      <c r="O666" s="60"/>
    </row>
    <row r="667" spans="14:15">
      <c r="N667" s="60"/>
      <c r="O667" s="60"/>
    </row>
    <row r="668" spans="14:15">
      <c r="N668" s="60"/>
      <c r="O668" s="60"/>
    </row>
    <row r="669" spans="14:15">
      <c r="N669" s="60"/>
      <c r="O669" s="60"/>
    </row>
    <row r="670" spans="14:15">
      <c r="N670" s="60"/>
      <c r="O670" s="60"/>
    </row>
    <row r="671" spans="14:15">
      <c r="N671" s="60"/>
      <c r="O671" s="60"/>
    </row>
    <row r="672" spans="14:15">
      <c r="N672" s="60"/>
      <c r="O672" s="60"/>
    </row>
    <row r="673" spans="14:15">
      <c r="N673" s="60"/>
      <c r="O673" s="60"/>
    </row>
    <row r="674" spans="14:15">
      <c r="N674" s="60"/>
      <c r="O674" s="60"/>
    </row>
    <row r="675" spans="14:15">
      <c r="N675" s="60"/>
      <c r="O675" s="60"/>
    </row>
    <row r="676" spans="14:15">
      <c r="N676" s="60"/>
      <c r="O676" s="60"/>
    </row>
    <row r="677" spans="14:15">
      <c r="N677" s="60"/>
      <c r="O677" s="60"/>
    </row>
    <row r="678" spans="14:15">
      <c r="N678" s="60"/>
      <c r="O678" s="60"/>
    </row>
    <row r="679" spans="14:15">
      <c r="N679" s="60"/>
      <c r="O679" s="60"/>
    </row>
    <row r="680" spans="14:15">
      <c r="N680" s="60"/>
      <c r="O680" s="60"/>
    </row>
    <row r="681" spans="14:15">
      <c r="N681" s="60"/>
      <c r="O681" s="60"/>
    </row>
    <row r="682" spans="14:15">
      <c r="N682" s="60"/>
      <c r="O682" s="60"/>
    </row>
    <row r="683" spans="14:15">
      <c r="N683" s="60"/>
      <c r="O683" s="60"/>
    </row>
    <row r="684" spans="14:15">
      <c r="N684" s="60"/>
      <c r="O684" s="60"/>
    </row>
    <row r="685" spans="14:15">
      <c r="N685" s="60"/>
      <c r="O685" s="60"/>
    </row>
    <row r="686" spans="14:15">
      <c r="N686" s="60"/>
      <c r="O686" s="60"/>
    </row>
    <row r="687" spans="14:15">
      <c r="N687" s="60"/>
      <c r="O687" s="60"/>
    </row>
    <row r="688" spans="14:15">
      <c r="N688" s="60"/>
      <c r="O688" s="60"/>
    </row>
    <row r="689" spans="14:15">
      <c r="N689" s="60"/>
      <c r="O689" s="60"/>
    </row>
    <row r="690" spans="14:15">
      <c r="N690" s="60"/>
      <c r="O690" s="60"/>
    </row>
    <row r="691" spans="14:15">
      <c r="N691" s="60"/>
      <c r="O691" s="60"/>
    </row>
    <row r="692" spans="14:15">
      <c r="N692" s="60"/>
      <c r="O692" s="60"/>
    </row>
    <row r="693" spans="14:15">
      <c r="N693" s="60"/>
      <c r="O693" s="60"/>
    </row>
    <row r="694" spans="14:15">
      <c r="N694" s="60"/>
      <c r="O694" s="60"/>
    </row>
    <row r="695" spans="14:15">
      <c r="N695" s="60"/>
      <c r="O695" s="60"/>
    </row>
    <row r="696" spans="14:15">
      <c r="N696" s="60"/>
      <c r="O696" s="60"/>
    </row>
    <row r="697" spans="14:15">
      <c r="N697" s="60"/>
      <c r="O697" s="60"/>
    </row>
    <row r="698" spans="14:15">
      <c r="N698" s="60"/>
      <c r="O698" s="60"/>
    </row>
    <row r="699" spans="14:15">
      <c r="N699" s="60"/>
      <c r="O699" s="60"/>
    </row>
    <row r="700" spans="14:15">
      <c r="N700" s="60"/>
      <c r="O700" s="60"/>
    </row>
    <row r="701" spans="14:15">
      <c r="N701" s="60"/>
      <c r="O701" s="60"/>
    </row>
    <row r="702" spans="14:15">
      <c r="N702" s="60"/>
      <c r="O702" s="60"/>
    </row>
    <row r="703" spans="14:15">
      <c r="N703" s="60"/>
      <c r="O703" s="60"/>
    </row>
    <row r="704" spans="14:15">
      <c r="N704" s="60"/>
      <c r="O704" s="60"/>
    </row>
    <row r="705" spans="14:15">
      <c r="N705" s="60"/>
      <c r="O705" s="60"/>
    </row>
    <row r="706" spans="14:15">
      <c r="N706" s="60"/>
      <c r="O706" s="60"/>
    </row>
    <row r="707" spans="14:15">
      <c r="N707" s="60"/>
      <c r="O707" s="60"/>
    </row>
    <row r="708" spans="14:15">
      <c r="N708" s="60"/>
      <c r="O708" s="60"/>
    </row>
    <row r="709" spans="14:15">
      <c r="N709" s="60"/>
      <c r="O709" s="60"/>
    </row>
    <row r="710" spans="14:15">
      <c r="N710" s="60"/>
      <c r="O710" s="60"/>
    </row>
    <row r="711" spans="14:15">
      <c r="N711" s="60"/>
      <c r="O711" s="60"/>
    </row>
    <row r="712" spans="14:15">
      <c r="N712" s="60"/>
      <c r="O712" s="60"/>
    </row>
    <row r="713" spans="14:15">
      <c r="N713" s="60"/>
      <c r="O713" s="60"/>
    </row>
    <row r="714" spans="14:15">
      <c r="N714" s="60"/>
      <c r="O714" s="60"/>
    </row>
    <row r="715" spans="14:15">
      <c r="N715" s="60"/>
      <c r="O715" s="60"/>
    </row>
    <row r="716" spans="14:15">
      <c r="N716" s="60"/>
      <c r="O716" s="60"/>
    </row>
    <row r="717" spans="14:15">
      <c r="N717" s="60"/>
      <c r="O717" s="60"/>
    </row>
    <row r="718" spans="14:15">
      <c r="N718" s="60"/>
      <c r="O718" s="60"/>
    </row>
    <row r="719" spans="14:15">
      <c r="N719" s="60"/>
      <c r="O719" s="60"/>
    </row>
    <row r="720" spans="14:15">
      <c r="N720" s="60"/>
      <c r="O720" s="60"/>
    </row>
    <row r="721" spans="14:15">
      <c r="N721" s="60"/>
      <c r="O721" s="60"/>
    </row>
    <row r="722" spans="14:15">
      <c r="N722" s="60"/>
      <c r="O722" s="60"/>
    </row>
    <row r="723" spans="14:15">
      <c r="N723" s="60"/>
      <c r="O723" s="60"/>
    </row>
    <row r="724" spans="14:15">
      <c r="N724" s="60"/>
      <c r="O724" s="60"/>
    </row>
    <row r="725" spans="14:15">
      <c r="N725" s="60"/>
      <c r="O725" s="60"/>
    </row>
    <row r="726" spans="14:15">
      <c r="N726" s="60"/>
      <c r="O726" s="60"/>
    </row>
    <row r="727" spans="14:15">
      <c r="N727" s="60"/>
      <c r="O727" s="60"/>
    </row>
    <row r="728" spans="14:15">
      <c r="N728" s="60"/>
      <c r="O728" s="60"/>
    </row>
    <row r="729" spans="14:15">
      <c r="N729" s="60"/>
      <c r="O729" s="60"/>
    </row>
    <row r="730" spans="14:15">
      <c r="N730" s="60"/>
      <c r="O730" s="60"/>
    </row>
    <row r="731" spans="14:15">
      <c r="N731" s="60"/>
      <c r="O731" s="60"/>
    </row>
    <row r="732" spans="14:15">
      <c r="N732" s="60"/>
      <c r="O732" s="60"/>
    </row>
    <row r="733" spans="14:15">
      <c r="N733" s="60"/>
      <c r="O733" s="60"/>
    </row>
    <row r="734" spans="14:15">
      <c r="N734" s="60"/>
      <c r="O734" s="60"/>
    </row>
    <row r="735" spans="14:15">
      <c r="N735" s="60"/>
      <c r="O735" s="60"/>
    </row>
    <row r="736" spans="14:15">
      <c r="N736" s="60"/>
      <c r="O736" s="60"/>
    </row>
    <row r="737" spans="14:15">
      <c r="N737" s="60"/>
      <c r="O737" s="60"/>
    </row>
    <row r="738" spans="14:15">
      <c r="N738" s="60"/>
      <c r="O738" s="60"/>
    </row>
    <row r="739" spans="14:15">
      <c r="N739" s="60"/>
      <c r="O739" s="60"/>
    </row>
    <row r="740" spans="14:15">
      <c r="N740" s="60"/>
      <c r="O740" s="60"/>
    </row>
    <row r="741" spans="14:15">
      <c r="N741" s="60"/>
      <c r="O741" s="60"/>
    </row>
    <row r="742" spans="14:15">
      <c r="N742" s="60"/>
      <c r="O742" s="60"/>
    </row>
    <row r="743" spans="14:15">
      <c r="N743" s="60"/>
      <c r="O743" s="60"/>
    </row>
    <row r="744" spans="14:15">
      <c r="N744" s="60"/>
      <c r="O744" s="60"/>
    </row>
    <row r="745" spans="14:15">
      <c r="N745" s="60"/>
      <c r="O745" s="60"/>
    </row>
    <row r="746" spans="14:15">
      <c r="N746" s="60"/>
      <c r="O746" s="60"/>
    </row>
    <row r="747" spans="14:15">
      <c r="N747" s="60"/>
      <c r="O747" s="60"/>
    </row>
    <row r="748" spans="14:15">
      <c r="N748" s="60"/>
      <c r="O748" s="60"/>
    </row>
    <row r="749" spans="14:15">
      <c r="N749" s="60"/>
      <c r="O749" s="60"/>
    </row>
    <row r="750" spans="14:15">
      <c r="N750" s="60"/>
      <c r="O750" s="60"/>
    </row>
    <row r="751" spans="14:15">
      <c r="N751" s="60"/>
      <c r="O751" s="60"/>
    </row>
    <row r="752" spans="14:15">
      <c r="N752" s="60"/>
      <c r="O752" s="60"/>
    </row>
    <row r="753" spans="14:15">
      <c r="N753" s="60"/>
      <c r="O753" s="60"/>
    </row>
    <row r="754" spans="14:15">
      <c r="N754" s="60"/>
      <c r="O754" s="60"/>
    </row>
  </sheetData>
  <mergeCells count="74">
    <mergeCell ref="B173:L173"/>
    <mergeCell ref="B229:B231"/>
    <mergeCell ref="B175:B204"/>
    <mergeCell ref="B227:L227"/>
    <mergeCell ref="B221:B223"/>
    <mergeCell ref="B321:L321"/>
    <mergeCell ref="B314:L314"/>
    <mergeCell ref="B305:L305"/>
    <mergeCell ref="B292:L292"/>
    <mergeCell ref="D255:E258"/>
    <mergeCell ref="D260:E263"/>
    <mergeCell ref="B278:B290"/>
    <mergeCell ref="B265:B277"/>
    <mergeCell ref="A399:C399"/>
    <mergeCell ref="B323:B348"/>
    <mergeCell ref="B354:B360"/>
    <mergeCell ref="B387:B397"/>
    <mergeCell ref="B364:B368"/>
    <mergeCell ref="B369:B377"/>
    <mergeCell ref="B378:B381"/>
    <mergeCell ref="B352:B353"/>
    <mergeCell ref="B385:L385"/>
    <mergeCell ref="B362:L362"/>
    <mergeCell ref="B350:L350"/>
    <mergeCell ref="K399:O399"/>
    <mergeCell ref="L406:O406"/>
    <mergeCell ref="L407:O407"/>
    <mergeCell ref="A400:C400"/>
    <mergeCell ref="A401:C401"/>
    <mergeCell ref="A402:C402"/>
    <mergeCell ref="K405:M405"/>
    <mergeCell ref="K403:M403"/>
    <mergeCell ref="K404:M404"/>
    <mergeCell ref="K402:M402"/>
    <mergeCell ref="K401:P401"/>
    <mergeCell ref="N5:O5"/>
    <mergeCell ref="B7:L7"/>
    <mergeCell ref="A2:P2"/>
    <mergeCell ref="D4:E4"/>
    <mergeCell ref="F4:I4"/>
    <mergeCell ref="L4:M4"/>
    <mergeCell ref="N4:O4"/>
    <mergeCell ref="D5:E5"/>
    <mergeCell ref="F5:I5"/>
    <mergeCell ref="L5:M5"/>
    <mergeCell ref="B24:L24"/>
    <mergeCell ref="B169:B170"/>
    <mergeCell ref="B136:B144"/>
    <mergeCell ref="B26:B51"/>
    <mergeCell ref="B55:B68"/>
    <mergeCell ref="B72:B85"/>
    <mergeCell ref="B108:L108"/>
    <mergeCell ref="B87:L87"/>
    <mergeCell ref="B70:L70"/>
    <mergeCell ref="B53:L53"/>
    <mergeCell ref="B146:B157"/>
    <mergeCell ref="B110:B135"/>
    <mergeCell ref="B158:B162"/>
    <mergeCell ref="B206:L206"/>
    <mergeCell ref="B316:B319"/>
    <mergeCell ref="B216:B220"/>
    <mergeCell ref="B224:B225"/>
    <mergeCell ref="B89:B104"/>
    <mergeCell ref="B105:B106"/>
    <mergeCell ref="B294:B301"/>
    <mergeCell ref="B302:B303"/>
    <mergeCell ref="B307:B312"/>
    <mergeCell ref="B253:B263"/>
    <mergeCell ref="B208:B215"/>
    <mergeCell ref="D237:E240"/>
    <mergeCell ref="D242:E245"/>
    <mergeCell ref="B235:B252"/>
    <mergeCell ref="B232:B234"/>
    <mergeCell ref="D247:E250"/>
  </mergeCells>
  <pageMargins left="0.7" right="0.7" top="0.75" bottom="0.75" header="0.3" footer="0.3"/>
  <pageSetup scale="3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BA721C77-014A-416D-8EFE-799E17758D4B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SUMMARY</vt:lpstr>
      <vt:lpstr>ESTIMATE</vt:lpstr>
      <vt:lpstr>ESTIMATE!Print_Area</vt:lpstr>
      <vt:lpstr>SUMMARY!Print_Area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Fahad Mahmood Khan</cp:lastModifiedBy>
  <cp:lastPrinted>2020-09-10T21:20:00Z</cp:lastPrinted>
  <dcterms:created xsi:type="dcterms:W3CDTF">2018-05-17T19:16:00Z</dcterms:created>
  <dcterms:modified xsi:type="dcterms:W3CDTF">2025-12-15T20:04:08Z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ICV">
    <vt:lpwstr>0405DEA18B68449D8537BD939DD57EFC</vt:lpwstr>
  </property>
  <property fmtid="{D5CDD505-2E9C-101B-9397-08002B2CF9AE}" pid="4" name="KSOProductBuildVer">
    <vt:lpwstr>1033-12.2.0.18911</vt:lpwstr>
  </property>
  <property fmtid="{D5CDD505-2E9C-101B-9397-08002B2CF9AE}" pid="5" name="PlanSwiftJobName">
    <vt:lpwstr/>
  </property>
  <property fmtid="{D5CDD505-2E9C-101B-9397-08002B2CF9AE}" pid="6" name="PlanSwiftJobGuid">
    <vt:lpwstr/>
  </property>
  <property fmtid="{D5CDD505-2E9C-101B-9397-08002B2CF9AE}" pid="7" name="LinkedDataId">
    <vt:lpwstr>{BA721C77-014A-416D-8EFE-799E17758D4B}</vt:lpwstr>
  </property>
</Properties>
</file>