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96C75CE5-F169-4C38-B8F1-E0F5C774A08B}" xr6:coauthVersionLast="47" xr6:coauthVersionMax="47" xr10:uidLastSave="{00000000-0000-0000-0000-000000000000}"/>
  <bookViews>
    <workbookView xWindow="-120" yWindow="-120" windowWidth="29040" windowHeight="15720" activeTab="1" xr2:uid="{2E5E1B31-DBF6-4E4B-94F7-89ED207CA8D7}"/>
  </bookViews>
  <sheets>
    <sheet name="PRICE SUMMARY" sheetId="19" r:id="rId1"/>
    <sheet name="DETAILED ESTIMATE" sheetId="13" r:id="rId2"/>
  </sheets>
  <definedNames>
    <definedName name="_xlnm._FilterDatabase" localSheetId="1" hidden="1">'DETAILED ESTIMATE'!$A$1:$KA$191</definedName>
    <definedName name="Anchor_Bolt_Labor">#REF!</definedName>
    <definedName name="Bentonite_WS">#REF!</definedName>
    <definedName name="BS_TD">#REF!</definedName>
    <definedName name="Column_Footing_CY">#REF!</definedName>
    <definedName name="Company">#REF!</definedName>
    <definedName name="Concrete_CY_Labor">#REF!</definedName>
    <definedName name="Concrete_Paving_Labor">#REF!</definedName>
    <definedName name="Cost_per_Ton">#REF!</definedName>
    <definedName name="Curb_LF">#REF!</definedName>
    <definedName name="Date">#REF!</definedName>
    <definedName name="Footing_Keyway">#REF!</definedName>
    <definedName name="Form_TD">#REF!</definedName>
    <definedName name="Handicap_Labor">#REF!</definedName>
    <definedName name="Labor_Markup">#REF!</definedName>
    <definedName name="Lean_Concrete">#REF!</definedName>
    <definedName name="LW_3000">#REF!</definedName>
    <definedName name="LW_4000">#REF!</definedName>
    <definedName name="Material_Markup">#REF!</definedName>
    <definedName name="Name">#REF!</definedName>
    <definedName name="NW_3000">#REF!</definedName>
    <definedName name="NW_3500">#REF!</definedName>
    <definedName name="NW_4000">#REF!</definedName>
    <definedName name="NW_4500">#REF!</definedName>
    <definedName name="NW_5000">#REF!</definedName>
    <definedName name="Paver_Base_Labor">#REF!</definedName>
    <definedName name="_xlnm.Print_Area" localSheetId="1">'DETAILED ESTIMATE'!$A$1:$S$184</definedName>
    <definedName name="_xlnm.Print_Area" localSheetId="0">'PRICE SUMMARY'!$A$1:$K$42</definedName>
    <definedName name="_xlnm.Print_Titles" localSheetId="1">'DETAILED ESTIMATE'!$1:$6</definedName>
    <definedName name="PT_Wire">#REF!</definedName>
    <definedName name="PT_Wire_Labor">#REF!</definedName>
    <definedName name="Pumps">#REF!</definedName>
    <definedName name="PVC_Bulb_WS">#REF!</definedName>
    <definedName name="Ramp_Labor">#REF!</definedName>
    <definedName name="Rebar_Cost">#REF!</definedName>
    <definedName name="Rebar_Labor">#REF!</definedName>
    <definedName name="Rebar_per_ton">#REF!</definedName>
    <definedName name="Rebar_Tons">#REF!</definedName>
    <definedName name="Sidewalk_Labor">#REF!</definedName>
    <definedName name="SOD_SF">#REF!</definedName>
    <definedName name="SOG_SF">#REF!</definedName>
    <definedName name="Tax">#REF!</definedName>
    <definedName name="TD_LF">#REF!</definedName>
    <definedName name="TD_Wall">#REF!</definedName>
    <definedName name="Tons_per_CY">#REF!</definedName>
    <definedName name="Trench_Footing_CY">#REF!</definedName>
    <definedName name="Trench_Footing_LF">#REF!</definedName>
    <definedName name="TS_LF">#REF!</definedName>
    <definedName name="Wall_Forming_CSF">#REF!</definedName>
    <definedName name="Wall_Forms">#REF!</definedName>
  </definedNames>
  <calcPr calcId="191029"/>
</workbook>
</file>

<file path=xl/calcChain.xml><?xml version="1.0" encoding="utf-8"?>
<calcChain xmlns="http://schemas.openxmlformats.org/spreadsheetml/2006/main">
  <c r="F69" i="13" l="1"/>
  <c r="D59" i="13"/>
  <c r="K54" i="13"/>
  <c r="J54" i="13"/>
  <c r="J49" i="13"/>
  <c r="J44" i="13"/>
  <c r="D23" i="13" l="1"/>
  <c r="A9" i="13"/>
  <c r="A10" i="13"/>
  <c r="A11" i="13"/>
  <c r="A12" i="13"/>
  <c r="A14" i="13"/>
  <c r="A15" i="13"/>
  <c r="A16" i="13"/>
  <c r="A17" i="13"/>
  <c r="A19" i="13"/>
  <c r="A20" i="13"/>
  <c r="A21" i="13"/>
  <c r="A22" i="13"/>
  <c r="A24" i="13"/>
  <c r="A25" i="13"/>
  <c r="A26" i="13"/>
  <c r="A27" i="13"/>
  <c r="A29" i="13"/>
  <c r="A30" i="13"/>
  <c r="A31" i="13"/>
  <c r="A32" i="13"/>
  <c r="A35" i="13"/>
  <c r="A36" i="13"/>
  <c r="A37" i="13"/>
  <c r="A38" i="13"/>
  <c r="A40" i="13"/>
  <c r="A41" i="13"/>
  <c r="A42" i="13"/>
  <c r="A43" i="13"/>
  <c r="A45" i="13"/>
  <c r="A46" i="13"/>
  <c r="A47" i="13"/>
  <c r="A48" i="13"/>
  <c r="A50" i="13"/>
  <c r="A51" i="13"/>
  <c r="A52" i="13"/>
  <c r="A53" i="13"/>
  <c r="A55" i="13"/>
  <c r="A56" i="13"/>
  <c r="A57" i="13"/>
  <c r="A58" i="13"/>
  <c r="A60" i="13"/>
  <c r="A61" i="13"/>
  <c r="A62" i="13"/>
  <c r="A63" i="13"/>
  <c r="A65" i="13"/>
  <c r="A66" i="13"/>
  <c r="A67" i="13"/>
  <c r="A68" i="13"/>
  <c r="A70" i="13"/>
  <c r="A71" i="13"/>
  <c r="A72" i="13"/>
  <c r="A73" i="13"/>
  <c r="A78" i="13"/>
  <c r="A79" i="13"/>
  <c r="A80" i="13"/>
  <c r="A81" i="13"/>
  <c r="A86" i="13"/>
  <c r="A87" i="13"/>
  <c r="A88" i="13"/>
  <c r="A89" i="13"/>
  <c r="A91" i="13"/>
  <c r="A92" i="13"/>
  <c r="A93" i="13"/>
  <c r="A94" i="13"/>
  <c r="A96" i="13"/>
  <c r="A97" i="13"/>
  <c r="A98" i="13"/>
  <c r="A99" i="13"/>
  <c r="A101" i="13"/>
  <c r="A102" i="13"/>
  <c r="A103" i="13"/>
  <c r="A104" i="13"/>
  <c r="A106" i="13"/>
  <c r="A107" i="13"/>
  <c r="A108" i="13"/>
  <c r="A109" i="13"/>
  <c r="A111" i="13"/>
  <c r="A112" i="13"/>
  <c r="A113" i="13"/>
  <c r="A114" i="13"/>
  <c r="A116" i="13"/>
  <c r="A117" i="13"/>
  <c r="A118" i="13"/>
  <c r="A119" i="13"/>
  <c r="A124" i="13"/>
  <c r="A125" i="13"/>
  <c r="A126" i="13"/>
  <c r="A127" i="13"/>
  <c r="A133" i="13"/>
  <c r="A134" i="13"/>
  <c r="A135" i="13"/>
  <c r="A136" i="13"/>
  <c r="A138" i="13"/>
  <c r="A139" i="13"/>
  <c r="A140" i="13"/>
  <c r="A141" i="13"/>
  <c r="A144" i="13"/>
  <c r="A145" i="13"/>
  <c r="A146" i="13"/>
  <c r="A147" i="13"/>
  <c r="A149" i="13"/>
  <c r="A150" i="13"/>
  <c r="A151" i="13"/>
  <c r="A152" i="13"/>
  <c r="A154" i="13"/>
  <c r="A155" i="13"/>
  <c r="A156" i="13"/>
  <c r="A157" i="13"/>
  <c r="A159" i="13"/>
  <c r="A160" i="13"/>
  <c r="A161" i="13"/>
  <c r="A162" i="13"/>
  <c r="A168" i="13"/>
  <c r="A169" i="13"/>
  <c r="A170" i="13"/>
  <c r="A171" i="13"/>
  <c r="A173" i="13"/>
  <c r="A174" i="13"/>
  <c r="A175" i="13"/>
  <c r="A176" i="13"/>
  <c r="A177" i="13"/>
  <c r="A178" i="13"/>
  <c r="P142" i="13"/>
  <c r="F142" i="13"/>
  <c r="P132" i="13"/>
  <c r="F83" i="13"/>
  <c r="F39" i="13"/>
  <c r="F82" i="13"/>
  <c r="F74" i="13"/>
  <c r="F23" i="13"/>
  <c r="F100" i="13"/>
  <c r="P148" i="13"/>
  <c r="H148" i="13"/>
  <c r="M148" i="13" s="1"/>
  <c r="M150" i="13" s="1"/>
  <c r="F32" i="19" s="1"/>
  <c r="F129" i="13"/>
  <c r="F132" i="13"/>
  <c r="F130" i="13"/>
  <c r="P33" i="13"/>
  <c r="H33" i="13"/>
  <c r="O33" i="13" s="1"/>
  <c r="F131" i="13" l="1"/>
  <c r="H142" i="13"/>
  <c r="Q142" i="13" s="1"/>
  <c r="N33" i="13"/>
  <c r="Q33" i="13"/>
  <c r="S33" i="13"/>
  <c r="O148" i="13"/>
  <c r="O150" i="13" s="1"/>
  <c r="N148" i="13"/>
  <c r="N150" i="13" s="1"/>
  <c r="G32" i="19" s="1"/>
  <c r="Q148" i="13"/>
  <c r="R150" i="13" s="1"/>
  <c r="S148" i="13"/>
  <c r="M33" i="13"/>
  <c r="F165" i="13"/>
  <c r="F166" i="13"/>
  <c r="F164" i="13"/>
  <c r="A7" i="13"/>
  <c r="S142" i="13" l="1"/>
  <c r="N142" i="13"/>
  <c r="M142" i="13"/>
  <c r="O142" i="13"/>
  <c r="T150" i="13"/>
  <c r="A8" i="13"/>
  <c r="A13" i="13" s="1"/>
  <c r="F167" i="13"/>
  <c r="H165" i="13"/>
  <c r="H166" i="13"/>
  <c r="A18" i="13" l="1"/>
  <c r="S165" i="13"/>
  <c r="S166" i="13"/>
  <c r="A23" i="13" l="1"/>
  <c r="A28" i="13" s="1"/>
  <c r="H74" i="13"/>
  <c r="D74" i="13" s="1"/>
  <c r="H132" i="13"/>
  <c r="H130" i="13"/>
  <c r="H167" i="13"/>
  <c r="P163" i="13"/>
  <c r="H163" i="13"/>
  <c r="S163" i="13" s="1"/>
  <c r="F115" i="13"/>
  <c r="H83" i="13"/>
  <c r="P83" i="13"/>
  <c r="P84" i="13"/>
  <c r="P76" i="13"/>
  <c r="H76" i="13"/>
  <c r="S76" i="13" s="1"/>
  <c r="F59" i="13"/>
  <c r="F44" i="13"/>
  <c r="P75" i="13"/>
  <c r="H75" i="13"/>
  <c r="M75" i="13" s="1"/>
  <c r="P158" i="13"/>
  <c r="H158" i="13"/>
  <c r="M158" i="13" s="1"/>
  <c r="M160" i="13" s="1"/>
  <c r="F34" i="19" s="1"/>
  <c r="P153" i="13"/>
  <c r="H153" i="13"/>
  <c r="S153" i="13" s="1"/>
  <c r="P137" i="13"/>
  <c r="H137" i="13"/>
  <c r="O137" i="13" s="1"/>
  <c r="P143" i="13"/>
  <c r="H143" i="13"/>
  <c r="O143" i="13" s="1"/>
  <c r="O145" i="13" s="1"/>
  <c r="P172" i="13"/>
  <c r="H172" i="13"/>
  <c r="M172" i="13" s="1"/>
  <c r="P128" i="13"/>
  <c r="H128" i="13"/>
  <c r="O128" i="13" s="1"/>
  <c r="P123" i="13"/>
  <c r="H123" i="13"/>
  <c r="M123" i="13" s="1"/>
  <c r="P122" i="13"/>
  <c r="H122" i="13"/>
  <c r="M122" i="13" s="1"/>
  <c r="P121" i="13"/>
  <c r="H121" i="13"/>
  <c r="M121" i="13" s="1"/>
  <c r="P120" i="13"/>
  <c r="H120" i="13"/>
  <c r="M120" i="13" s="1"/>
  <c r="P115" i="13"/>
  <c r="P105" i="13"/>
  <c r="P110" i="13"/>
  <c r="K74" i="13" l="1"/>
  <c r="P74" i="13" s="1"/>
  <c r="J74" i="13"/>
  <c r="A33" i="13"/>
  <c r="A34" i="13" s="1"/>
  <c r="A39" i="13" s="1"/>
  <c r="N132" i="13"/>
  <c r="O132" i="13"/>
  <c r="M132" i="13"/>
  <c r="Q132" i="13"/>
  <c r="O163" i="13"/>
  <c r="Q163" i="13"/>
  <c r="M163" i="13"/>
  <c r="N163" i="13"/>
  <c r="M83" i="13"/>
  <c r="S83" i="13"/>
  <c r="O83" i="13"/>
  <c r="N83" i="13"/>
  <c r="Q83" i="13"/>
  <c r="H82" i="13"/>
  <c r="D82" i="13" s="1"/>
  <c r="N76" i="13"/>
  <c r="H84" i="13"/>
  <c r="Q84" i="13" s="1"/>
  <c r="O76" i="13"/>
  <c r="M76" i="13"/>
  <c r="Q76" i="13"/>
  <c r="N75" i="13"/>
  <c r="Q75" i="13"/>
  <c r="S75" i="13"/>
  <c r="N158" i="13"/>
  <c r="N160" i="13" s="1"/>
  <c r="G34" i="19" s="1"/>
  <c r="O75" i="13"/>
  <c r="Q153" i="13"/>
  <c r="R155" i="13" s="1"/>
  <c r="S74" i="13"/>
  <c r="N74" i="13"/>
  <c r="Q74" i="13"/>
  <c r="M74" i="13"/>
  <c r="O74" i="13"/>
  <c r="O158" i="13"/>
  <c r="O160" i="13" s="1"/>
  <c r="Q158" i="13"/>
  <c r="R160" i="13" s="1"/>
  <c r="S158" i="13"/>
  <c r="S167" i="13"/>
  <c r="N153" i="13"/>
  <c r="N155" i="13" s="1"/>
  <c r="G33" i="19" s="1"/>
  <c r="O153" i="13"/>
  <c r="O155" i="13" s="1"/>
  <c r="M153" i="13"/>
  <c r="M155" i="13" s="1"/>
  <c r="F33" i="19" s="1"/>
  <c r="Q137" i="13"/>
  <c r="M137" i="13"/>
  <c r="N137" i="13"/>
  <c r="S137" i="13"/>
  <c r="Q143" i="13"/>
  <c r="R145" i="13" s="1"/>
  <c r="S130" i="13"/>
  <c r="M143" i="13"/>
  <c r="M145" i="13" s="1"/>
  <c r="H129" i="13"/>
  <c r="N143" i="13"/>
  <c r="N145" i="13" s="1"/>
  <c r="S143" i="13"/>
  <c r="S132" i="13"/>
  <c r="N128" i="13"/>
  <c r="Q128" i="13"/>
  <c r="M128" i="13"/>
  <c r="M134" i="13" s="1"/>
  <c r="S128" i="13"/>
  <c r="Q172" i="13"/>
  <c r="O172" i="13"/>
  <c r="S172" i="13"/>
  <c r="N172" i="13"/>
  <c r="Q120" i="13"/>
  <c r="N122" i="13"/>
  <c r="O122" i="13"/>
  <c r="Q121" i="13"/>
  <c r="O121" i="13"/>
  <c r="N120" i="13"/>
  <c r="S121" i="13"/>
  <c r="Q122" i="13"/>
  <c r="O123" i="13"/>
  <c r="S123" i="13"/>
  <c r="S120" i="13"/>
  <c r="N123" i="13"/>
  <c r="O120" i="13"/>
  <c r="N121" i="13"/>
  <c r="S122" i="13"/>
  <c r="Q123" i="13"/>
  <c r="M125" i="13"/>
  <c r="H115" i="13"/>
  <c r="H105" i="13"/>
  <c r="H110" i="13"/>
  <c r="Q110" i="13" s="1"/>
  <c r="R112" i="13" s="1"/>
  <c r="K82" i="13" l="1"/>
  <c r="P82" i="13" s="1"/>
  <c r="Q82" i="13" s="1"/>
  <c r="J82" i="13"/>
  <c r="F28" i="19"/>
  <c r="A44" i="13"/>
  <c r="I34" i="19"/>
  <c r="I33" i="19"/>
  <c r="S82" i="13"/>
  <c r="N82" i="13"/>
  <c r="O82" i="13"/>
  <c r="M82" i="13"/>
  <c r="T160" i="13"/>
  <c r="S84" i="13"/>
  <c r="N84" i="13"/>
  <c r="M84" i="13"/>
  <c r="O84" i="13"/>
  <c r="T155" i="13"/>
  <c r="H131" i="13"/>
  <c r="S129" i="13"/>
  <c r="R174" i="13"/>
  <c r="R125" i="13"/>
  <c r="O125" i="13"/>
  <c r="N125" i="13"/>
  <c r="G28" i="19" s="1"/>
  <c r="S115" i="13"/>
  <c r="N115" i="13"/>
  <c r="N117" i="13" s="1"/>
  <c r="G27" i="19" s="1"/>
  <c r="M115" i="13"/>
  <c r="M117" i="13" s="1"/>
  <c r="F27" i="19" s="1"/>
  <c r="O115" i="13"/>
  <c r="O117" i="13" s="1"/>
  <c r="Q115" i="13"/>
  <c r="R117" i="13" s="1"/>
  <c r="S105" i="13"/>
  <c r="N105" i="13"/>
  <c r="N107" i="13" s="1"/>
  <c r="G25" i="19" s="1"/>
  <c r="M105" i="13"/>
  <c r="M107" i="13" s="1"/>
  <c r="F25" i="19" s="1"/>
  <c r="O105" i="13"/>
  <c r="O107" i="13" s="1"/>
  <c r="Q105" i="13"/>
  <c r="R107" i="13" s="1"/>
  <c r="S110" i="13"/>
  <c r="N110" i="13"/>
  <c r="N112" i="13" s="1"/>
  <c r="G26" i="19" s="1"/>
  <c r="M110" i="13"/>
  <c r="M112" i="13" s="1"/>
  <c r="F26" i="19" s="1"/>
  <c r="O110" i="13"/>
  <c r="O112" i="13" s="1"/>
  <c r="P100" i="13"/>
  <c r="H100" i="13"/>
  <c r="O100" i="13" s="1"/>
  <c r="O102" i="13" s="1"/>
  <c r="P95" i="13"/>
  <c r="H95" i="13"/>
  <c r="M95" i="13" s="1"/>
  <c r="M97" i="13" s="1"/>
  <c r="F23" i="19" s="1"/>
  <c r="P90" i="13"/>
  <c r="H90" i="13"/>
  <c r="S90" i="13" s="1"/>
  <c r="P85" i="13"/>
  <c r="P77" i="13"/>
  <c r="P69" i="13"/>
  <c r="P64" i="13"/>
  <c r="P59" i="13"/>
  <c r="P54" i="13"/>
  <c r="H54" i="13"/>
  <c r="S54" i="13" s="1"/>
  <c r="P49" i="13"/>
  <c r="P44" i="13"/>
  <c r="H39" i="13"/>
  <c r="M39" i="13" s="1"/>
  <c r="M41" i="13" s="1"/>
  <c r="F13" i="19" s="1"/>
  <c r="P39" i="13"/>
  <c r="P34" i="13"/>
  <c r="H34" i="13"/>
  <c r="M34" i="13" s="1"/>
  <c r="P28" i="13"/>
  <c r="H28" i="13"/>
  <c r="M28" i="13" s="1"/>
  <c r="M30" i="13" s="1"/>
  <c r="F11" i="19" s="1"/>
  <c r="P23" i="13"/>
  <c r="P18" i="13"/>
  <c r="H18" i="13"/>
  <c r="M18" i="13" s="1"/>
  <c r="M20" i="13" s="1"/>
  <c r="F9" i="19" s="1"/>
  <c r="P8" i="13"/>
  <c r="H8" i="13"/>
  <c r="O8" i="13" s="1"/>
  <c r="H40" i="19"/>
  <c r="T125" i="13" l="1"/>
  <c r="A49" i="13"/>
  <c r="A54" i="13" s="1"/>
  <c r="M36" i="13"/>
  <c r="F12" i="19" s="1"/>
  <c r="I28" i="19"/>
  <c r="I32" i="19"/>
  <c r="O10" i="13"/>
  <c r="I26" i="19"/>
  <c r="I25" i="19"/>
  <c r="I27" i="19"/>
  <c r="O139" i="13"/>
  <c r="M139" i="13"/>
  <c r="F30" i="19" s="1"/>
  <c r="N139" i="13"/>
  <c r="G30" i="19" s="1"/>
  <c r="R139" i="13"/>
  <c r="O174" i="13"/>
  <c r="M174" i="13"/>
  <c r="F36" i="19" s="1"/>
  <c r="N174" i="13"/>
  <c r="G36" i="19" s="1"/>
  <c r="S131" i="13"/>
  <c r="G31" i="19"/>
  <c r="F31" i="19"/>
  <c r="N95" i="13"/>
  <c r="N97" i="13" s="1"/>
  <c r="G23" i="19" s="1"/>
  <c r="T117" i="13"/>
  <c r="T107" i="13"/>
  <c r="T112" i="13"/>
  <c r="Q100" i="13"/>
  <c r="R102" i="13" s="1"/>
  <c r="M100" i="13"/>
  <c r="M102" i="13" s="1"/>
  <c r="F24" i="19" s="1"/>
  <c r="S100" i="13"/>
  <c r="N100" i="13"/>
  <c r="N102" i="13" s="1"/>
  <c r="G24" i="19" s="1"/>
  <c r="O95" i="13"/>
  <c r="O97" i="13" s="1"/>
  <c r="Q95" i="13"/>
  <c r="R97" i="13" s="1"/>
  <c r="S95" i="13"/>
  <c r="N90" i="13"/>
  <c r="N92" i="13" s="1"/>
  <c r="G22" i="19" s="1"/>
  <c r="O90" i="13"/>
  <c r="O92" i="13" s="1"/>
  <c r="Q90" i="13"/>
  <c r="R92" i="13" s="1"/>
  <c r="M90" i="13"/>
  <c r="M92" i="13" s="1"/>
  <c r="F22" i="19" s="1"/>
  <c r="H85" i="13"/>
  <c r="H77" i="13"/>
  <c r="H69" i="13"/>
  <c r="D69" i="13" s="1"/>
  <c r="H64" i="13"/>
  <c r="N54" i="13"/>
  <c r="N56" i="13" s="1"/>
  <c r="G16" i="19" s="1"/>
  <c r="H59" i="13"/>
  <c r="O54" i="13"/>
  <c r="O56" i="13" s="1"/>
  <c r="Q54" i="13"/>
  <c r="R56" i="13" s="1"/>
  <c r="M54" i="13"/>
  <c r="M56" i="13" s="1"/>
  <c r="F16" i="19" s="1"/>
  <c r="H49" i="13"/>
  <c r="Q49" i="13" s="1"/>
  <c r="R51" i="13" s="1"/>
  <c r="O34" i="13"/>
  <c r="O36" i="13" s="1"/>
  <c r="H44" i="13"/>
  <c r="Q34" i="13"/>
  <c r="R36" i="13" s="1"/>
  <c r="O39" i="13"/>
  <c r="O41" i="13" s="1"/>
  <c r="Q39" i="13"/>
  <c r="R41" i="13" s="1"/>
  <c r="S39" i="13"/>
  <c r="N39" i="13"/>
  <c r="N41" i="13" s="1"/>
  <c r="G13" i="19" s="1"/>
  <c r="S34" i="13"/>
  <c r="N34" i="13"/>
  <c r="N28" i="13"/>
  <c r="N30" i="13" s="1"/>
  <c r="G11" i="19" s="1"/>
  <c r="Q28" i="13"/>
  <c r="R30" i="13" s="1"/>
  <c r="S28" i="13"/>
  <c r="O18" i="13"/>
  <c r="O20" i="13" s="1"/>
  <c r="O28" i="13"/>
  <c r="O30" i="13" s="1"/>
  <c r="Q18" i="13"/>
  <c r="R20" i="13" s="1"/>
  <c r="M8" i="13"/>
  <c r="N18" i="13"/>
  <c r="N20" i="13" s="1"/>
  <c r="G9" i="19" s="1"/>
  <c r="S18" i="13"/>
  <c r="H23" i="13"/>
  <c r="Q8" i="13"/>
  <c r="N8" i="13"/>
  <c r="A59" i="13" l="1"/>
  <c r="A64" i="13" s="1"/>
  <c r="A69" i="13" s="1"/>
  <c r="A74" i="13" s="1"/>
  <c r="A75" i="13" s="1"/>
  <c r="A76" i="13" s="1"/>
  <c r="A77" i="13" s="1"/>
  <c r="A82" i="13" s="1"/>
  <c r="A83" i="13" s="1"/>
  <c r="A84" i="13" s="1"/>
  <c r="A85" i="13" s="1"/>
  <c r="A90" i="13" s="1"/>
  <c r="A95" i="13" s="1"/>
  <c r="A100" i="13" s="1"/>
  <c r="A105" i="13" s="1"/>
  <c r="A110" i="13" s="1"/>
  <c r="A115" i="13" s="1"/>
  <c r="A120" i="13" s="1"/>
  <c r="A121" i="13" s="1"/>
  <c r="A122" i="13" s="1"/>
  <c r="A123" i="13" s="1"/>
  <c r="A128" i="13" s="1"/>
  <c r="A129" i="13" s="1"/>
  <c r="A130" i="13" s="1"/>
  <c r="A131" i="13" s="1"/>
  <c r="A132" i="13" s="1"/>
  <c r="A137" i="13" s="1"/>
  <c r="A142" i="13" s="1"/>
  <c r="A143" i="13" s="1"/>
  <c r="A148" i="13" s="1"/>
  <c r="A153" i="13" s="1"/>
  <c r="A158" i="13" s="1"/>
  <c r="A163" i="13" s="1"/>
  <c r="A164" i="13" s="1"/>
  <c r="A165" i="13" s="1"/>
  <c r="A166" i="13" s="1"/>
  <c r="A167" i="13" s="1"/>
  <c r="A172" i="13" s="1"/>
  <c r="N36" i="13"/>
  <c r="G12" i="19" s="1"/>
  <c r="I12" i="19" s="1"/>
  <c r="I9" i="19"/>
  <c r="I11" i="19"/>
  <c r="I23" i="19"/>
  <c r="I13" i="19"/>
  <c r="N134" i="13"/>
  <c r="G29" i="19" s="1"/>
  <c r="R134" i="13"/>
  <c r="O134" i="13"/>
  <c r="F29" i="19"/>
  <c r="M10" i="13"/>
  <c r="F7" i="19" s="1"/>
  <c r="N10" i="13"/>
  <c r="G7" i="19" s="1"/>
  <c r="I24" i="19"/>
  <c r="I36" i="19"/>
  <c r="I30" i="19"/>
  <c r="I31" i="19"/>
  <c r="R10" i="13"/>
  <c r="I22" i="19"/>
  <c r="I16" i="19"/>
  <c r="T139" i="13"/>
  <c r="T145" i="13"/>
  <c r="T97" i="13"/>
  <c r="T102" i="13"/>
  <c r="T92" i="13"/>
  <c r="S85" i="13"/>
  <c r="N85" i="13"/>
  <c r="M85" i="13"/>
  <c r="O85" i="13"/>
  <c r="O87" i="13" s="1"/>
  <c r="Q85" i="13"/>
  <c r="R87" i="13" s="1"/>
  <c r="S77" i="13"/>
  <c r="N77" i="13"/>
  <c r="N79" i="13" s="1"/>
  <c r="G20" i="19" s="1"/>
  <c r="M77" i="13"/>
  <c r="O77" i="13"/>
  <c r="O79" i="13" s="1"/>
  <c r="Q77" i="13"/>
  <c r="R79" i="13" s="1"/>
  <c r="S69" i="13"/>
  <c r="N69" i="13"/>
  <c r="N71" i="13" s="1"/>
  <c r="G19" i="19" s="1"/>
  <c r="M69" i="13"/>
  <c r="O69" i="13"/>
  <c r="O71" i="13" s="1"/>
  <c r="Q69" i="13"/>
  <c r="R71" i="13" s="1"/>
  <c r="S64" i="13"/>
  <c r="N64" i="13"/>
  <c r="N66" i="13" s="1"/>
  <c r="G18" i="19" s="1"/>
  <c r="M64" i="13"/>
  <c r="M66" i="13" s="1"/>
  <c r="F18" i="19" s="1"/>
  <c r="O64" i="13"/>
  <c r="O66" i="13" s="1"/>
  <c r="Q64" i="13"/>
  <c r="R66" i="13" s="1"/>
  <c r="S59" i="13"/>
  <c r="N59" i="13"/>
  <c r="N61" i="13" s="1"/>
  <c r="G17" i="19" s="1"/>
  <c r="O59" i="13"/>
  <c r="O61" i="13" s="1"/>
  <c r="M59" i="13"/>
  <c r="M61" i="13" s="1"/>
  <c r="F17" i="19" s="1"/>
  <c r="T56" i="13"/>
  <c r="Q59" i="13"/>
  <c r="R61" i="13" s="1"/>
  <c r="S49" i="13"/>
  <c r="N49" i="13"/>
  <c r="N51" i="13" s="1"/>
  <c r="G15" i="19" s="1"/>
  <c r="O49" i="13"/>
  <c r="O51" i="13" s="1"/>
  <c r="M49" i="13"/>
  <c r="M51" i="13" s="1"/>
  <c r="F15" i="19" s="1"/>
  <c r="S44" i="13"/>
  <c r="N44" i="13"/>
  <c r="N46" i="13" s="1"/>
  <c r="G14" i="19" s="1"/>
  <c r="M44" i="13"/>
  <c r="M46" i="13" s="1"/>
  <c r="F14" i="19" s="1"/>
  <c r="O44" i="13"/>
  <c r="O46" i="13" s="1"/>
  <c r="Q44" i="13"/>
  <c r="R46" i="13" s="1"/>
  <c r="T41" i="13"/>
  <c r="T30" i="13"/>
  <c r="T20" i="13"/>
  <c r="S23" i="13"/>
  <c r="N23" i="13"/>
  <c r="N25" i="13" s="1"/>
  <c r="G10" i="19" s="1"/>
  <c r="Q23" i="13"/>
  <c r="R25" i="13" s="1"/>
  <c r="M23" i="13"/>
  <c r="M25" i="13" s="1"/>
  <c r="F10" i="19" s="1"/>
  <c r="O23" i="13"/>
  <c r="O25" i="13" s="1"/>
  <c r="T36" i="13" l="1"/>
  <c r="M87" i="13"/>
  <c r="F21" i="19" s="1"/>
  <c r="M71" i="13"/>
  <c r="F19" i="19" s="1"/>
  <c r="I19" i="19" s="1"/>
  <c r="M79" i="13"/>
  <c r="T79" i="13" s="1"/>
  <c r="I29" i="19"/>
  <c r="T134" i="13"/>
  <c r="T10" i="13"/>
  <c r="I17" i="19"/>
  <c r="I10" i="19"/>
  <c r="N87" i="13"/>
  <c r="G21" i="19" s="1"/>
  <c r="I14" i="19"/>
  <c r="I15" i="19"/>
  <c r="I18" i="19"/>
  <c r="T61" i="13"/>
  <c r="T66" i="13"/>
  <c r="T51" i="13"/>
  <c r="T46" i="13"/>
  <c r="T25" i="13"/>
  <c r="T71" i="13" l="1"/>
  <c r="F20" i="19"/>
  <c r="I20" i="19" s="1"/>
  <c r="I21" i="19"/>
  <c r="T87" i="13"/>
  <c r="P13" i="13"/>
  <c r="H13" i="13"/>
  <c r="O13" i="13" l="1"/>
  <c r="N13" i="13"/>
  <c r="M13" i="13"/>
  <c r="Q13" i="13"/>
  <c r="Q179" i="13" s="1"/>
  <c r="J2" i="19"/>
  <c r="D4" i="19"/>
  <c r="D3" i="19"/>
  <c r="E40" i="19"/>
  <c r="E39" i="19"/>
  <c r="J32" i="19" s="1"/>
  <c r="J13" i="19" l="1"/>
  <c r="J17" i="19"/>
  <c r="J18" i="19"/>
  <c r="J16" i="19"/>
  <c r="J15" i="19"/>
  <c r="J21" i="19"/>
  <c r="J20" i="19"/>
  <c r="J23" i="19"/>
  <c r="J19" i="19"/>
  <c r="J14" i="19"/>
  <c r="J22" i="19"/>
  <c r="J24" i="19"/>
  <c r="J27" i="19"/>
  <c r="J29" i="19"/>
  <c r="J12" i="19"/>
  <c r="J11" i="19"/>
  <c r="J26" i="19"/>
  <c r="J25" i="19"/>
  <c r="J28" i="19"/>
  <c r="J33" i="19"/>
  <c r="J31" i="19"/>
  <c r="J10" i="19"/>
  <c r="J30" i="19"/>
  <c r="J9" i="19"/>
  <c r="J34" i="19"/>
  <c r="J36" i="19"/>
  <c r="N15" i="13"/>
  <c r="G8" i="19" s="1"/>
  <c r="O15" i="13"/>
  <c r="R15" i="13"/>
  <c r="M15" i="13"/>
  <c r="F8" i="19" s="1"/>
  <c r="I7" i="19" l="1"/>
  <c r="J7" i="19" s="1"/>
  <c r="I8" i="19"/>
  <c r="J8" i="19" s="1"/>
  <c r="T15" i="13"/>
  <c r="T174" i="13" l="1"/>
  <c r="H38" i="19" l="1"/>
  <c r="H39" i="19" l="1"/>
  <c r="H41" i="19" s="1"/>
  <c r="S179" i="13" l="1"/>
  <c r="H164" i="13"/>
  <c r="S164" i="13" s="1"/>
  <c r="M169" i="13" l="1"/>
  <c r="F35" i="19" s="1"/>
  <c r="M178" i="13" l="1"/>
  <c r="Q181" i="13" s="1"/>
  <c r="F38" i="19"/>
  <c r="I40" i="19" s="1"/>
  <c r="O169" i="13"/>
  <c r="O178" i="13" s="1"/>
  <c r="N169" i="13"/>
  <c r="G35" i="19" s="1"/>
  <c r="R169" i="13"/>
  <c r="R179" i="13" s="1"/>
  <c r="N178" i="13" l="1"/>
  <c r="T178" i="13" s="1"/>
  <c r="Q180" i="13"/>
  <c r="Q182" i="13" s="1"/>
  <c r="C5" i="13" s="1"/>
  <c r="G38" i="19"/>
  <c r="I35" i="19"/>
  <c r="T169" i="13"/>
  <c r="J35" i="19" l="1"/>
  <c r="J38" i="19" s="1"/>
  <c r="I38" i="19"/>
  <c r="I39" i="19" l="1"/>
  <c r="I41" i="19" s="1"/>
</calcChain>
</file>

<file path=xl/sharedStrings.xml><?xml version="1.0" encoding="utf-8"?>
<sst xmlns="http://schemas.openxmlformats.org/spreadsheetml/2006/main" count="361" uniqueCount="237">
  <si>
    <t>UNIT</t>
  </si>
  <si>
    <t>DESCRIPTION</t>
  </si>
  <si>
    <t>WASTE</t>
  </si>
  <si>
    <t>QTY. W/ WASTE</t>
  </si>
  <si>
    <t>DWG. NO.</t>
  </si>
  <si>
    <t>DETAIL NO.</t>
  </si>
  <si>
    <t>CSI NO.</t>
  </si>
  <si>
    <t>TOTAL COST</t>
  </si>
  <si>
    <t>ADDRESS</t>
  </si>
  <si>
    <t>Date of plans</t>
  </si>
  <si>
    <t>SR #</t>
  </si>
  <si>
    <t>CY</t>
  </si>
  <si>
    <t>MATERIAL COST</t>
  </si>
  <si>
    <t>SUBCONTRACTOR COST</t>
  </si>
  <si>
    <t>TOTAL UNIT COST</t>
  </si>
  <si>
    <t>MATERIAL TOTAL</t>
  </si>
  <si>
    <t>LS</t>
  </si>
  <si>
    <t>TOTAL</t>
  </si>
  <si>
    <t>TOTAL 
LABOR</t>
  </si>
  <si>
    <t>TOTAL 
MATERIAL</t>
  </si>
  <si>
    <t>TOTAL 
SUB CONTRACTOR</t>
  </si>
  <si>
    <t>Date of Submission</t>
  </si>
  <si>
    <t>EA</t>
  </si>
  <si>
    <t>LF</t>
  </si>
  <si>
    <t xml:space="preserve"> </t>
  </si>
  <si>
    <t xml:space="preserve">Sub Total </t>
  </si>
  <si>
    <t>LABOR/EQUIPMENT COST</t>
  </si>
  <si>
    <t>QTY</t>
  </si>
  <si>
    <t>PROJECT</t>
  </si>
  <si>
    <t>OVERHEAD AND PROFIT</t>
  </si>
  <si>
    <t>LABOR BURDEN</t>
  </si>
  <si>
    <t>TOTAL BASE BID</t>
  </si>
  <si>
    <t>PRICE SUMMARY</t>
  </si>
  <si>
    <t>Sr #</t>
  </si>
  <si>
    <t>LABOR
W/O O&amp;P</t>
  </si>
  <si>
    <t>MATERIAL
W/O O&amp;P</t>
  </si>
  <si>
    <t>Total W/O O&amp;P</t>
  </si>
  <si>
    <t>TOTAL INCLUDING O&amp;P</t>
  </si>
  <si>
    <t>SUB TOTAL</t>
  </si>
  <si>
    <t>OVER HEAD &amp; PROFIT (O&amp;P)</t>
  </si>
  <si>
    <t>Please see next tab for detailed estimate</t>
  </si>
  <si>
    <t>BUILDING</t>
  </si>
  <si>
    <t>MOBILIZATION</t>
  </si>
  <si>
    <t xml:space="preserve"> Mobilization  
</t>
  </si>
  <si>
    <t>MOBILIZATION Sub-Total</t>
  </si>
  <si>
    <t>Please confirm inclusion in scope</t>
  </si>
  <si>
    <t>Please Confirm/Add price</t>
  </si>
  <si>
    <t>Base Bid</t>
  </si>
  <si>
    <t xml:space="preserve">Contractor Quality Control Program (CQCP)
</t>
  </si>
  <si>
    <t>CONTRACTOR QUALITY CONTROL PROGRAM</t>
  </si>
  <si>
    <t>CONTRACTOR QUALITY CONTROL PROGRAM Sub-Total</t>
  </si>
  <si>
    <t>INSTALLATION AND REMOVAL OF SITE FENCE</t>
  </si>
  <si>
    <r>
      <t xml:space="preserve">Silt Fence: 
</t>
    </r>
    <r>
      <rPr>
        <sz val="12"/>
        <rFont val="Calibri"/>
        <family val="2"/>
        <scheme val="minor"/>
      </rPr>
      <t xml:space="preserve">-Woven Wire Mesh Covered With Geotextile
-4" Steel Drive Post </t>
    </r>
  </si>
  <si>
    <t>C7.1</t>
  </si>
  <si>
    <t>C3.0</t>
  </si>
  <si>
    <t>INSTALLATION AND REMOVAL OF SITE FENCE Sub-Total</t>
  </si>
  <si>
    <t xml:space="preserve">CONSTRUCTION ENTRANCE </t>
  </si>
  <si>
    <t>CONSTRUCTION ENTRANCE Sub-Total</t>
  </si>
  <si>
    <t>CONCRETE WASHOUT &amp; CLEANUP</t>
  </si>
  <si>
    <t>CONCRETE WASHOUT &amp; CLEANUP Sub-Total</t>
  </si>
  <si>
    <t>CONSTRUCTION JOINT PREPARATION</t>
  </si>
  <si>
    <t>CONSTRUCTION JOINT PREPARATION Sub-Total</t>
  </si>
  <si>
    <t>Spec. 101-3
/P-101-1</t>
  </si>
  <si>
    <t xml:space="preserve">UNCLASSIFIED EXCAVATION </t>
  </si>
  <si>
    <t>C2.0</t>
  </si>
  <si>
    <t>UNCLASSIFIED EXCAVATION  Sub-Total</t>
  </si>
  <si>
    <t xml:space="preserve">SUBGRADE PREPARATION </t>
  </si>
  <si>
    <t>Spec. 152-3.3
/P-152-7</t>
  </si>
  <si>
    <t xml:space="preserve">SY </t>
  </si>
  <si>
    <t>UNDERCUT AND RELATED BACKFILL</t>
  </si>
  <si>
    <t>SUBGRADE PREPARATION Sub-Total</t>
  </si>
  <si>
    <t>UNDERCUT AND RELATED BACKFILL Sub-Total</t>
  </si>
  <si>
    <t xml:space="preserve">GEOTEXTILE FABRIC </t>
  </si>
  <si>
    <t>GEOTEXTILE FABRIC  Sub-Total</t>
  </si>
  <si>
    <t xml:space="preserve">LIME SUBGRADE </t>
  </si>
  <si>
    <t>Lime-treated Subgrade (12" Thickness)</t>
  </si>
  <si>
    <t>LIME SUBGRADE  Sub-Total</t>
  </si>
  <si>
    <t>LIME</t>
  </si>
  <si>
    <t>TON</t>
  </si>
  <si>
    <t xml:space="preserve">Lime </t>
  </si>
  <si>
    <t>LIME Sub-Total</t>
  </si>
  <si>
    <t>SY</t>
  </si>
  <si>
    <t>Crushed Stone Aggregate Base Course (6" Thickness)</t>
  </si>
  <si>
    <t>AGGREGATE BASE Sub-Total</t>
  </si>
  <si>
    <t xml:space="preserve">PCC PAVEMENT </t>
  </si>
  <si>
    <t>Plain Cement Concrete PCC Pavement (9.5" Thickness)</t>
  </si>
  <si>
    <t>PCC PAVEMENT Sub-Total</t>
  </si>
  <si>
    <t xml:space="preserve">RCC PAVEMENT </t>
  </si>
  <si>
    <t>RCC PAVEMENT Sub-Total</t>
  </si>
  <si>
    <t xml:space="preserve">PAVEMENT MARKING </t>
  </si>
  <si>
    <t>PAVEMENT MARKING Sub-Total</t>
  </si>
  <si>
    <t xml:space="preserve">TIE-DOWNS </t>
  </si>
  <si>
    <t>Aircraft Tie Downs</t>
  </si>
  <si>
    <t>TIE-DOWNS  Sub-Total</t>
  </si>
  <si>
    <t>C6.0</t>
  </si>
  <si>
    <t xml:space="preserve">SEEDING </t>
  </si>
  <si>
    <t xml:space="preserve">Seeding </t>
  </si>
  <si>
    <t>SOD</t>
  </si>
  <si>
    <t>SOD Sub-Total</t>
  </si>
  <si>
    <t>SEEDING Sub-Total</t>
  </si>
  <si>
    <t>MULCHING</t>
  </si>
  <si>
    <t xml:space="preserve">Mulching </t>
  </si>
  <si>
    <t xml:space="preserve">TOPSOIL </t>
  </si>
  <si>
    <t>TOPSOIL Sub-Total</t>
  </si>
  <si>
    <t>MULCHING Sub-Total</t>
  </si>
  <si>
    <t xml:space="preserve">ELECTRICAL DEMOLITION </t>
  </si>
  <si>
    <t xml:space="preserve">Remove Taxi Light And Store </t>
  </si>
  <si>
    <t>E2.0</t>
  </si>
  <si>
    <t xml:space="preserve">Remove Taxiway And Runway Circuit From Exist Conduit </t>
  </si>
  <si>
    <t>Remove Taxiway Circuit</t>
  </si>
  <si>
    <t>ELECTRICAL DEMOLITION  Sub-Total</t>
  </si>
  <si>
    <t xml:space="preserve">TRENCHING FOR CONDUIT </t>
  </si>
  <si>
    <t>TRENCHING FOR CONDUIT  Sub-Total</t>
  </si>
  <si>
    <t>Excavation (Avg: 2'-0")</t>
  </si>
  <si>
    <t>Gravel Around Cable</t>
  </si>
  <si>
    <t>Detectable Wiring Tape</t>
  </si>
  <si>
    <t>E4.0</t>
  </si>
  <si>
    <t>ELECTRICAL CABLE INSTALL IN TRENCH</t>
  </si>
  <si>
    <t>ELECTRICAL CABLE INSTALL IN DUCTBANK OR CONDUIT</t>
  </si>
  <si>
    <t>ELECTRICAL CABLE INSTALL IN DUCTBANK OR CONDUIT Sub-Total</t>
  </si>
  <si>
    <t>BARE COUNTERPOISE WIRE Sub-Total</t>
  </si>
  <si>
    <t xml:space="preserve">ELECTRICAL HANDHOLE </t>
  </si>
  <si>
    <t>Electrical Handhole 4'x4' (Aircraft Rated In pavement)</t>
  </si>
  <si>
    <t>ELECTRICAL HANDHOLE Sub-Total</t>
  </si>
  <si>
    <t xml:space="preserve">TAXIWAY LIGHT </t>
  </si>
  <si>
    <t xml:space="preserve">Re-install Existing L-861-T Stake Mounted Taxiway Edge Light </t>
  </si>
  <si>
    <t>TAXIWAY LIGHT Sub-Total</t>
  </si>
  <si>
    <t>CONSTRUCTION SAFETY &amp; MAINTENCE OF TRAFFIC</t>
  </si>
  <si>
    <t>CONSTRUCTION SAFETY &amp; MAINTENCE OF TRAFFIC Sub-Total</t>
  </si>
  <si>
    <t xml:space="preserve">10" Edge Form </t>
  </si>
  <si>
    <t xml:space="preserve">Isolation Joint </t>
  </si>
  <si>
    <t>#3 @ 12" O.C Bars EW</t>
  </si>
  <si>
    <t>LB</t>
  </si>
  <si>
    <t>C7.0</t>
  </si>
  <si>
    <t>Dowelled Construction Joint (1" Steek Dowel L=19")</t>
  </si>
  <si>
    <t>Dowelled Contraction Joint (1" Steek Dowel L=19")</t>
  </si>
  <si>
    <t>COAHOMA COUNTY AIRPORT CLARKSDALE, MISSISSIPP</t>
  </si>
  <si>
    <t>NORTH APRON EXPANSION CLARKSDALE-COAHOMA COUNTY AIRPORT</t>
  </si>
  <si>
    <t>Preparation Of Existing Subgrade (Scarfing, Compacting  &amp; Proof rolling)</t>
  </si>
  <si>
    <t>Reinforced PCC Pavement (9.5" Thickness)</t>
  </si>
  <si>
    <t xml:space="preserve">Concrete Footing </t>
  </si>
  <si>
    <t>Implementation Of Construction Safety Plan And Maintenance Of Traffic.</t>
  </si>
  <si>
    <t>ELECTRICAL CABLE INSTALL IN TRENCH Sub-Total</t>
  </si>
  <si>
    <t xml:space="preserve">Contractor Quality Control Program </t>
  </si>
  <si>
    <t xml:space="preserve">Mobilization </t>
  </si>
  <si>
    <t xml:space="preserve">Installation And Removal Of Site Fence </t>
  </si>
  <si>
    <t xml:space="preserve">Construction Entrance </t>
  </si>
  <si>
    <t xml:space="preserve">Concrete Washout &amp; Cleanup </t>
  </si>
  <si>
    <t xml:space="preserve">Construction Joint Preparation </t>
  </si>
  <si>
    <t xml:space="preserve">Unclassified Excavation  </t>
  </si>
  <si>
    <t xml:space="preserve">Subgrade Preparation </t>
  </si>
  <si>
    <t xml:space="preserve">Undercut And Related Backfill </t>
  </si>
  <si>
    <t xml:space="preserve">Geotextile Fabric  </t>
  </si>
  <si>
    <t xml:space="preserve">Lime Subgrade  </t>
  </si>
  <si>
    <t xml:space="preserve">Aggregate Base </t>
  </si>
  <si>
    <t xml:space="preserve">Pcc Pavement </t>
  </si>
  <si>
    <t xml:space="preserve">Rcc Pavement </t>
  </si>
  <si>
    <t xml:space="preserve">Pavement Marking </t>
  </si>
  <si>
    <t xml:space="preserve">Tie-Downs  </t>
  </si>
  <si>
    <t xml:space="preserve">Sod </t>
  </si>
  <si>
    <t xml:space="preserve">Topsoil </t>
  </si>
  <si>
    <t xml:space="preserve">Electrical Demolition  </t>
  </si>
  <si>
    <t xml:space="preserve">Trenching For Conduit  </t>
  </si>
  <si>
    <t xml:space="preserve">Electrical Cable Install In Ductbank Or Conduit </t>
  </si>
  <si>
    <t xml:space="preserve">Electrical Cable Install In Trench </t>
  </si>
  <si>
    <t xml:space="preserve">Bare Counterpoise Wire </t>
  </si>
  <si>
    <t xml:space="preserve">Electrical Handhole </t>
  </si>
  <si>
    <t xml:space="preserve">Taxiway Light </t>
  </si>
  <si>
    <t xml:space="preserve">Construction Safety &amp; Maintence Of Traffic </t>
  </si>
  <si>
    <t>Formwork Footing</t>
  </si>
  <si>
    <t>SFCA</t>
  </si>
  <si>
    <t>Excavation</t>
  </si>
  <si>
    <t>Backfill</t>
  </si>
  <si>
    <r>
      <t xml:space="preserve">Stone Construction Entrance:
</t>
    </r>
    <r>
      <rPr>
        <sz val="12"/>
        <rFont val="Calibri"/>
        <family val="2"/>
        <scheme val="minor"/>
      </rPr>
      <t>- 6" Coarse aggregate
- Geotextile underline</t>
    </r>
  </si>
  <si>
    <t>Isolation Joint Between Existing Pavement And New PCC Pavement.</t>
  </si>
  <si>
    <t>Existing Pavement to be full depth Sawcut, Removing &amp; disposing material and cleaning existing PCC pavement Faces Prior to Isolation Joint Installation.</t>
  </si>
  <si>
    <t xml:space="preserve">6" Yellow Paint Parking Strips </t>
  </si>
  <si>
    <t>Note: This quantity is not found on the plans and quantity given in the bid form is used. Please verify in field</t>
  </si>
  <si>
    <t>ELECTRICAL CONDUIT 1 WAY 4</t>
  </si>
  <si>
    <t xml:space="preserve">Electrical Conduit I way 4 </t>
  </si>
  <si>
    <t>ELECTRICAL CONDUIT 1 WAY 4 Sub-Total</t>
  </si>
  <si>
    <t>ITEM #C-100</t>
  </si>
  <si>
    <t>ITEM #C-105</t>
  </si>
  <si>
    <t>ITEM #C-102-5.1</t>
  </si>
  <si>
    <t>ITEM #C-102-5.2</t>
  </si>
  <si>
    <t>ITEM #C-102-5.3</t>
  </si>
  <si>
    <t>ITEM #P-101-5.1</t>
  </si>
  <si>
    <t>ITEM #P-152-4.1</t>
  </si>
  <si>
    <t>ITEM #P-152-4.2</t>
  </si>
  <si>
    <t>ITEM #P-152-4.3</t>
  </si>
  <si>
    <t>ITEM #P-152-4.4</t>
  </si>
  <si>
    <t>ITEM #P-155-8.1</t>
  </si>
  <si>
    <t>ITEM #P-155-8.2</t>
  </si>
  <si>
    <t>ITEM #P-209-5.1</t>
  </si>
  <si>
    <t>CRUSHED AGGREGATE BASE</t>
  </si>
  <si>
    <t>ITEM #P-501-8.1</t>
  </si>
  <si>
    <t>ITEM #P-501-8.2</t>
  </si>
  <si>
    <t>ITEM #P-620-5.1</t>
  </si>
  <si>
    <t>ITEM #P-620-5.2</t>
  </si>
  <si>
    <t>ITEM #T-901-5.1</t>
  </si>
  <si>
    <t>ITEM #T-904-5.1</t>
  </si>
  <si>
    <t>ITEM #T-905-5.1</t>
  </si>
  <si>
    <t>ITEM #T-908-5.1</t>
  </si>
  <si>
    <t>ITEM #TS-102-4.1</t>
  </si>
  <si>
    <t>ITEM #L-108-5.1</t>
  </si>
  <si>
    <t>ITEM #L-108-5.2</t>
  </si>
  <si>
    <t>ITEM #L-108-5.3</t>
  </si>
  <si>
    <t>ITEM #L-108-5.4</t>
  </si>
  <si>
    <t>#6 AWG, BARE COUNTERPOISE WIRE</t>
  </si>
  <si>
    <t>ITEM #L-110-5.1</t>
  </si>
  <si>
    <t>ITEM #L-115-5.1</t>
  </si>
  <si>
    <t>ITEM #L-125-5.1</t>
  </si>
  <si>
    <t>ITEM #TS-129.3.1</t>
  </si>
  <si>
    <r>
      <t xml:space="preserve">Unclassified Excavation
</t>
    </r>
    <r>
      <rPr>
        <b/>
        <i/>
        <sz val="12"/>
        <color rgb="FF0070C0"/>
        <rFont val="Calibri"/>
        <family val="2"/>
        <scheme val="minor"/>
      </rPr>
      <t>Note: Excavation for proposed apron pavement is approx. 1217 CY whereas given quantity is 800 CY. We have used higher quantity. Please verify in field</t>
    </r>
  </si>
  <si>
    <r>
      <t xml:space="preserve">Topsoil (Obtained On Site Or Removed From Stockpile)
</t>
    </r>
    <r>
      <rPr>
        <b/>
        <i/>
        <sz val="12"/>
        <color rgb="FF0070C0"/>
        <rFont val="Calibri"/>
        <family val="2"/>
        <scheme val="minor"/>
      </rPr>
      <t>Note: We have assumed 6" topsoil spread for seeding/ sod areas. Quantity given on bid form is 100 CY. Please verify in field</t>
    </r>
  </si>
  <si>
    <t>For reference only</t>
  </si>
  <si>
    <t>Install splice marked where runway circuits are spliced</t>
  </si>
  <si>
    <t>Legend 6/C2.0</t>
  </si>
  <si>
    <t>Legend 2/C2.0</t>
  </si>
  <si>
    <t>Legend 9/C2.0</t>
  </si>
  <si>
    <t>Legend 7/C2.0</t>
  </si>
  <si>
    <t>Legend/E1.0</t>
  </si>
  <si>
    <r>
      <t xml:space="preserve">#8 AWG, 5kV, L-824, Type C Cable, Installed In Existing Conduit
</t>
    </r>
    <r>
      <rPr>
        <b/>
        <i/>
        <sz val="12"/>
        <color rgb="FF0070C0"/>
        <rFont val="Calibri"/>
        <family val="2"/>
        <scheme val="minor"/>
      </rPr>
      <t>Note: Quantity as per plans is 249LF whereas quantity as per bid form is 300 LF. WE have used higher quantity. Please verify in field</t>
    </r>
  </si>
  <si>
    <r>
      <t xml:space="preserve">Undercut And Related Backfill (3' Depth)
</t>
    </r>
    <r>
      <rPr>
        <b/>
        <i/>
        <sz val="12"/>
        <color rgb="FF0070C0"/>
        <rFont val="Calibri"/>
        <family val="2"/>
        <scheme val="minor"/>
      </rPr>
      <t>Note: This quantity is not found on the plans and therefore, the quantity given in the bid form is used. Please verify in field</t>
    </r>
  </si>
  <si>
    <r>
      <t xml:space="preserve">Geotextile Fabric For Undercut Area
</t>
    </r>
    <r>
      <rPr>
        <b/>
        <i/>
        <sz val="12"/>
        <color rgb="FF0070C0"/>
        <rFont val="Calibri"/>
        <family val="2"/>
        <scheme val="minor"/>
      </rPr>
      <t>Note: This quantity is not found on the plans and therefore, the quantity given in the bid form is used. Please verify in field</t>
    </r>
  </si>
  <si>
    <t>Any thing not mentioned above</t>
  </si>
  <si>
    <r>
      <t xml:space="preserve">Lime 
- Applied @ 6% dry unit weight of soil
- Soil density; 120 lb/cu. ft assumed
- Depth: 12"
</t>
    </r>
    <r>
      <rPr>
        <b/>
        <i/>
        <sz val="12"/>
        <color rgb="FF0070C0"/>
        <rFont val="Calibri"/>
        <family val="2"/>
        <scheme val="minor"/>
      </rPr>
      <t>Note: Quantity of lime stabilization in bid form is 80 tons. Whereas, as per our calculations it is 72 ton. We have used higher quantity. Please verify in field</t>
    </r>
  </si>
  <si>
    <r>
      <t xml:space="preserve">SOD
</t>
    </r>
    <r>
      <rPr>
        <b/>
        <i/>
        <sz val="12"/>
        <color rgb="FF0070C0"/>
        <rFont val="Calibri"/>
        <family val="2"/>
        <scheme val="minor"/>
      </rPr>
      <t>Note: Quantity of sod as per bid form is 370 SY. Whereas, our quantity is 361 SY. Therefore, we have used higher quantity. Please verify in field</t>
    </r>
  </si>
  <si>
    <r>
      <t xml:space="preserve">Seeding 
</t>
    </r>
    <r>
      <rPr>
        <b/>
        <i/>
        <sz val="12"/>
        <color rgb="FF0070C0"/>
        <rFont val="Calibri"/>
        <family val="2"/>
        <scheme val="minor"/>
      </rPr>
      <t>Note: Quantity of seeding as per bid form is 510 SY. Whereas, our quantity is 615 SY. Please verify in field</t>
    </r>
  </si>
  <si>
    <r>
      <t xml:space="preserve">Mulching 
</t>
    </r>
    <r>
      <rPr>
        <b/>
        <i/>
        <sz val="12"/>
        <color rgb="FF0070C0"/>
        <rFont val="Calibri"/>
        <family val="2"/>
        <scheme val="minor"/>
      </rPr>
      <t>Note: Quantity of mulching as per bid form is 510 SY. Whereas, our quantity is 615 SY. Please verify in field</t>
    </r>
  </si>
  <si>
    <t>Demolition of existing airport lighting fixtures, transformers, conductors, conduit, concrete foundations and all miscellaneous electrical Items</t>
  </si>
  <si>
    <r>
      <t xml:space="preserve">Trenching For Conduit Or direct Buried Cable 
</t>
    </r>
    <r>
      <rPr>
        <b/>
        <i/>
        <sz val="12"/>
        <color rgb="FF0070C0"/>
        <rFont val="Calibri"/>
        <family val="2"/>
        <scheme val="minor"/>
      </rPr>
      <t>Note: Quantity per bid form is 240 LF. Whereas, our quantity is 248 LF. Please verify in field</t>
    </r>
  </si>
  <si>
    <r>
      <t xml:space="preserve">#8 AWG, 5kV, L-824, Type C Cable, Installed In trench
</t>
    </r>
    <r>
      <rPr>
        <b/>
        <i/>
        <sz val="12"/>
        <color rgb="FF0070C0"/>
        <rFont val="Calibri"/>
        <family val="2"/>
        <scheme val="minor"/>
      </rPr>
      <t>Note: Quantity per bid form is 150 LF. Whereas, our quantity is 177 LF. Please verify in field</t>
    </r>
  </si>
  <si>
    <r>
      <t xml:space="preserve">#6 AWG, Bare Counterpoise Wire
</t>
    </r>
    <r>
      <rPr>
        <b/>
        <i/>
        <sz val="12"/>
        <color rgb="FF0070C0"/>
        <rFont val="Calibri"/>
        <family val="2"/>
        <scheme val="minor"/>
      </rPr>
      <t>Note: Quantity per bid form is 100 LF. Whereas, our quantity is 121 LF. Please verify in field</t>
    </r>
  </si>
  <si>
    <t>Items not given in bid form but included in takeoffs as per plans</t>
  </si>
  <si>
    <t>Rev0 BE PR 12514</t>
  </si>
  <si>
    <t xml:space="preserve">Exclusions: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</si>
</sst>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.00_);_(&quot;$&quot;* \(#,##0.00\);_(&quot;$&quot;* &quot;-&quot;?_);_(@_)"/>
    <numFmt numFmtId="167" formatCode="&quot;$&quot;#,##0.00"/>
    <numFmt numFmtId="168" formatCode="_(&quot;$&quot;* #,##0_);_(&quot;$&quot;* \(#,##0\);_(&quot;$&quot;* &quot;-&quot;?_);_(@_)"/>
    <numFmt numFmtId="169" formatCode="_(* #,##0.00_);_(* \(#,##0.00\);_(* &quot;-&quot;_);_(@_)"/>
    <numFmt numFmtId="170" formatCode="0.000"/>
    <numFmt numFmtId="171" formatCode="_-* #,##0.00_-;\-* #,##0.00_-;_-* &quot;-&quot;??_-;_-@_-"/>
    <numFmt numFmtId="172" formatCode="_-[$$-409]* #,##0_ ;_-[$$-409]* \-#,##0\ ;_-[$$-409]* &quot;-&quot;??_ ;_-@_ "/>
    <numFmt numFmtId="173" formatCode="_([$$-409]* #,##0_);_([$$-409]* \(#,##0\);_([$$-409]* &quot;-&quot;??_);_(@_)"/>
    <numFmt numFmtId="174" formatCode="_-[$$-409]* #,##0.0_ ;_-[$$-409]* \-#,##0.0\ ;_-[$$-409]* &quot;-&quot;??_ ;_-@_ "/>
    <numFmt numFmtId="175" formatCode="0.0"/>
  </numFmts>
  <fonts count="7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Verdana"/>
      <family val="2"/>
    </font>
    <font>
      <sz val="14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50101"/>
      <name val="Arial"/>
      <family val="2"/>
    </font>
    <font>
      <b/>
      <sz val="11"/>
      <color theme="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F50101"/>
      <name val="Arial"/>
      <family val="2"/>
    </font>
    <font>
      <b/>
      <sz val="12"/>
      <name val="Arial"/>
      <family val="2"/>
    </font>
    <font>
      <b/>
      <i/>
      <sz val="12"/>
      <color rgb="FFFF0000"/>
      <name val="Arial"/>
      <family val="2"/>
    </font>
    <font>
      <b/>
      <sz val="12"/>
      <color theme="0"/>
      <name val="Arial"/>
      <family val="2"/>
    </font>
    <font>
      <u/>
      <sz val="11"/>
      <color indexed="12"/>
      <name val="Calibri"/>
      <family val="2"/>
    </font>
    <font>
      <b/>
      <i/>
      <sz val="12"/>
      <color rgb="FF0070C0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3"/>
      <color theme="1"/>
      <name val="Calibri"/>
      <family val="2"/>
      <scheme val="minor"/>
    </font>
    <font>
      <b/>
      <sz val="9"/>
      <color theme="1"/>
      <name val="Cambria"/>
      <family val="1"/>
      <scheme val="major"/>
    </font>
    <font>
      <b/>
      <sz val="13"/>
      <color theme="1"/>
      <name val="Verdana"/>
      <family val="2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0"/>
      <name val="Arial"/>
      <family val="2"/>
    </font>
    <font>
      <b/>
      <sz val="13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u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9" fillId="0" borderId="0"/>
    <xf numFmtId="0" fontId="9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27" fillId="0" borderId="0"/>
    <xf numFmtId="0" fontId="9" fillId="0" borderId="0"/>
    <xf numFmtId="43" fontId="27" fillId="0" borderId="0" applyFont="0" applyFill="0" applyBorder="0" applyAlignment="0" applyProtection="0"/>
    <xf numFmtId="0" fontId="28" fillId="0" borderId="0"/>
    <xf numFmtId="43" fontId="9" fillId="0" borderId="0" applyFont="0" applyFill="0" applyBorder="0" applyAlignment="0" applyProtection="0"/>
    <xf numFmtId="0" fontId="9" fillId="0" borderId="0"/>
    <xf numFmtId="44" fontId="28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" fillId="0" borderId="0"/>
    <xf numFmtId="42" fontId="9" fillId="0" borderId="0" applyFont="0" applyFill="0" applyBorder="0" applyAlignment="0" applyProtection="0"/>
    <xf numFmtId="0" fontId="9" fillId="0" borderId="0"/>
    <xf numFmtId="0" fontId="4" fillId="0" borderId="0"/>
    <xf numFmtId="44" fontId="4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171" fontId="9" fillId="0" borderId="0" applyFont="0" applyFill="0" applyBorder="0" applyAlignment="0" applyProtection="0"/>
  </cellStyleXfs>
  <cellXfs count="244">
    <xf numFmtId="0" fontId="0" fillId="0" borderId="0" xfId="0"/>
    <xf numFmtId="0" fontId="29" fillId="24" borderId="13" xfId="0" applyFont="1" applyFill="1" applyBorder="1" applyAlignment="1">
      <alignment vertical="top"/>
    </xf>
    <xf numFmtId="0" fontId="29" fillId="0" borderId="10" xfId="0" applyFont="1" applyBorder="1" applyAlignment="1">
      <alignment horizontal="center" vertical="top" wrapText="1"/>
    </xf>
    <xf numFmtId="0" fontId="29" fillId="24" borderId="17" xfId="0" applyFont="1" applyFill="1" applyBorder="1" applyAlignment="1">
      <alignment vertical="top"/>
    </xf>
    <xf numFmtId="0" fontId="29" fillId="0" borderId="10" xfId="0" applyFont="1" applyBorder="1" applyAlignment="1">
      <alignment vertical="top"/>
    </xf>
    <xf numFmtId="2" fontId="29" fillId="24" borderId="10" xfId="0" applyNumberFormat="1" applyFont="1" applyFill="1" applyBorder="1" applyAlignment="1">
      <alignment vertical="top" wrapText="1"/>
    </xf>
    <xf numFmtId="0" fontId="36" fillId="25" borderId="16" xfId="0" applyFont="1" applyFill="1" applyBorder="1" applyAlignment="1">
      <alignment vertical="top"/>
    </xf>
    <xf numFmtId="2" fontId="30" fillId="24" borderId="11" xfId="0" applyNumberFormat="1" applyFont="1" applyFill="1" applyBorder="1" applyAlignment="1">
      <alignment vertical="top"/>
    </xf>
    <xf numFmtId="2" fontId="35" fillId="25" borderId="11" xfId="0" applyNumberFormat="1" applyFont="1" applyFill="1" applyBorder="1" applyAlignment="1">
      <alignment vertical="top"/>
    </xf>
    <xf numFmtId="0" fontId="29" fillId="24" borderId="16" xfId="0" applyFont="1" applyFill="1" applyBorder="1" applyAlignment="1">
      <alignment vertical="top"/>
    </xf>
    <xf numFmtId="2" fontId="35" fillId="25" borderId="12" xfId="0" applyNumberFormat="1" applyFont="1" applyFill="1" applyBorder="1" applyAlignment="1">
      <alignment vertical="top"/>
    </xf>
    <xf numFmtId="2" fontId="30" fillId="24" borderId="12" xfId="0" applyNumberFormat="1" applyFont="1" applyFill="1" applyBorder="1" applyAlignment="1">
      <alignment vertical="top"/>
    </xf>
    <xf numFmtId="166" fontId="29" fillId="24" borderId="10" xfId="0" applyNumberFormat="1" applyFont="1" applyFill="1" applyBorder="1" applyAlignment="1">
      <alignment horizontal="center" vertical="top"/>
    </xf>
    <xf numFmtId="41" fontId="29" fillId="24" borderId="10" xfId="0" applyNumberFormat="1" applyFont="1" applyFill="1" applyBorder="1" applyAlignment="1">
      <alignment horizontal="center" vertical="top"/>
    </xf>
    <xf numFmtId="0" fontId="29" fillId="24" borderId="10" xfId="0" applyFont="1" applyFill="1" applyBorder="1" applyAlignment="1">
      <alignment horizontal="center" vertical="top"/>
    </xf>
    <xf numFmtId="168" fontId="30" fillId="28" borderId="23" xfId="0" applyNumberFormat="1" applyFont="1" applyFill="1" applyBorder="1" applyAlignment="1">
      <alignment vertical="top"/>
    </xf>
    <xf numFmtId="168" fontId="30" fillId="28" borderId="22" xfId="0" applyNumberFormat="1" applyFont="1" applyFill="1" applyBorder="1" applyAlignment="1">
      <alignment vertical="top"/>
    </xf>
    <xf numFmtId="168" fontId="30" fillId="28" borderId="24" xfId="0" applyNumberFormat="1" applyFont="1" applyFill="1" applyBorder="1" applyAlignment="1">
      <alignment vertical="top"/>
    </xf>
    <xf numFmtId="14" fontId="34" fillId="24" borderId="0" xfId="0" applyNumberFormat="1" applyFont="1" applyFill="1" applyAlignment="1">
      <alignment horizontal="left" vertical="top"/>
    </xf>
    <xf numFmtId="0" fontId="29" fillId="24" borderId="18" xfId="0" applyFont="1" applyFill="1" applyBorder="1" applyAlignment="1">
      <alignment horizontal="center" vertical="top"/>
    </xf>
    <xf numFmtId="0" fontId="33" fillId="24" borderId="13" xfId="0" applyFont="1" applyFill="1" applyBorder="1" applyAlignment="1">
      <alignment vertical="top"/>
    </xf>
    <xf numFmtId="2" fontId="41" fillId="24" borderId="10" xfId="0" applyNumberFormat="1" applyFont="1" applyFill="1" applyBorder="1" applyAlignment="1">
      <alignment vertical="top" wrapText="1"/>
    </xf>
    <xf numFmtId="9" fontId="29" fillId="0" borderId="18" xfId="0" applyNumberFormat="1" applyFont="1" applyBorder="1" applyAlignment="1">
      <alignment horizontal="center" vertical="top"/>
    </xf>
    <xf numFmtId="168" fontId="29" fillId="0" borderId="0" xfId="0" applyNumberFormat="1" applyFont="1" applyAlignment="1">
      <alignment vertical="top"/>
    </xf>
    <xf numFmtId="0" fontId="29" fillId="0" borderId="0" xfId="0" applyFont="1" applyAlignment="1">
      <alignment vertical="top"/>
    </xf>
    <xf numFmtId="0" fontId="29" fillId="26" borderId="0" xfId="0" applyFont="1" applyFill="1" applyAlignment="1">
      <alignment vertical="top"/>
    </xf>
    <xf numFmtId="9" fontId="29" fillId="0" borderId="10" xfId="0" applyNumberFormat="1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top"/>
    </xf>
    <xf numFmtId="166" fontId="29" fillId="24" borderId="10" xfId="0" applyNumberFormat="1" applyFont="1" applyFill="1" applyBorder="1" applyAlignment="1">
      <alignment vertical="top"/>
    </xf>
    <xf numFmtId="168" fontId="29" fillId="24" borderId="17" xfId="0" applyNumberFormat="1" applyFont="1" applyFill="1" applyBorder="1" applyAlignment="1">
      <alignment vertical="top"/>
    </xf>
    <xf numFmtId="168" fontId="29" fillId="24" borderId="20" xfId="0" applyNumberFormat="1" applyFont="1" applyFill="1" applyBorder="1" applyAlignment="1">
      <alignment vertical="top"/>
    </xf>
    <xf numFmtId="0" fontId="0" fillId="26" borderId="0" xfId="0" applyFill="1"/>
    <xf numFmtId="0" fontId="29" fillId="30" borderId="0" xfId="0" applyFont="1" applyFill="1" applyAlignment="1">
      <alignment vertical="top"/>
    </xf>
    <xf numFmtId="164" fontId="29" fillId="0" borderId="0" xfId="0" applyNumberFormat="1" applyFont="1" applyAlignment="1">
      <alignment vertical="top"/>
    </xf>
    <xf numFmtId="2" fontId="29" fillId="0" borderId="0" xfId="0" applyNumberFormat="1" applyFont="1" applyAlignment="1">
      <alignment horizontal="center" vertical="top" wrapText="1"/>
    </xf>
    <xf numFmtId="167" fontId="29" fillId="0" borderId="0" xfId="0" applyNumberFormat="1" applyFont="1" applyAlignment="1">
      <alignment horizontal="center" vertical="top"/>
    </xf>
    <xf numFmtId="164" fontId="29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2" fontId="29" fillId="0" borderId="0" xfId="0" applyNumberFormat="1" applyFont="1" applyAlignment="1">
      <alignment horizontal="right" vertical="top" wrapText="1"/>
    </xf>
    <xf numFmtId="2" fontId="29" fillId="0" borderId="0" xfId="0" applyNumberFormat="1" applyFont="1" applyAlignment="1">
      <alignment vertical="top" wrapText="1"/>
    </xf>
    <xf numFmtId="0" fontId="29" fillId="0" borderId="0" xfId="0" applyFont="1" applyAlignment="1">
      <alignment horizontal="right" vertical="top"/>
    </xf>
    <xf numFmtId="0" fontId="29" fillId="0" borderId="13" xfId="0" applyFont="1" applyBorder="1" applyAlignment="1">
      <alignment horizontal="center" vertical="top"/>
    </xf>
    <xf numFmtId="0" fontId="29" fillId="24" borderId="0" xfId="0" applyFont="1" applyFill="1" applyAlignment="1">
      <alignment horizontal="left" vertical="top"/>
    </xf>
    <xf numFmtId="0" fontId="30" fillId="24" borderId="0" xfId="0" applyFont="1" applyFill="1" applyAlignment="1">
      <alignment vertical="top"/>
    </xf>
    <xf numFmtId="0" fontId="29" fillId="24" borderId="0" xfId="0" applyFont="1" applyFill="1" applyAlignment="1">
      <alignment vertical="top"/>
    </xf>
    <xf numFmtId="165" fontId="30" fillId="24" borderId="17" xfId="0" applyNumberFormat="1" applyFont="1" applyFill="1" applyBorder="1" applyAlignment="1">
      <alignment horizontal="center" vertical="top"/>
    </xf>
    <xf numFmtId="165" fontId="30" fillId="24" borderId="24" xfId="0" applyNumberFormat="1" applyFont="1" applyFill="1" applyBorder="1" applyAlignment="1">
      <alignment horizontal="center" vertical="top"/>
    </xf>
    <xf numFmtId="2" fontId="8" fillId="24" borderId="17" xfId="0" applyNumberFormat="1" applyFont="1" applyFill="1" applyBorder="1" applyAlignment="1">
      <alignment horizontal="right" vertical="top"/>
    </xf>
    <xf numFmtId="44" fontId="29" fillId="24" borderId="27" xfId="55" applyFont="1" applyFill="1" applyBorder="1" applyAlignment="1" applyProtection="1">
      <alignment horizontal="center" vertical="top"/>
    </xf>
    <xf numFmtId="166" fontId="29" fillId="24" borderId="27" xfId="0" applyNumberFormat="1" applyFont="1" applyFill="1" applyBorder="1" applyAlignment="1">
      <alignment horizontal="center" vertical="top"/>
    </xf>
    <xf numFmtId="0" fontId="29" fillId="24" borderId="27" xfId="0" applyFont="1" applyFill="1" applyBorder="1" applyAlignment="1">
      <alignment horizontal="center" vertical="top"/>
    </xf>
    <xf numFmtId="9" fontId="29" fillId="24" borderId="27" xfId="0" applyNumberFormat="1" applyFont="1" applyFill="1" applyBorder="1" applyAlignment="1">
      <alignment horizontal="center" vertical="top"/>
    </xf>
    <xf numFmtId="0" fontId="29" fillId="24" borderId="28" xfId="0" applyFont="1" applyFill="1" applyBorder="1" applyAlignment="1">
      <alignment horizontal="center" vertical="top" wrapText="1"/>
    </xf>
    <xf numFmtId="0" fontId="29" fillId="24" borderId="28" xfId="0" applyFont="1" applyFill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168" fontId="30" fillId="24" borderId="40" xfId="0" applyNumberFormat="1" applyFont="1" applyFill="1" applyBorder="1" applyAlignment="1">
      <alignment horizontal="center" vertical="top"/>
    </xf>
    <xf numFmtId="168" fontId="29" fillId="24" borderId="14" xfId="0" applyNumberFormat="1" applyFont="1" applyFill="1" applyBorder="1" applyAlignment="1">
      <alignment horizontal="center" vertical="top"/>
    </xf>
    <xf numFmtId="168" fontId="30" fillId="28" borderId="25" xfId="0" applyNumberFormat="1" applyFont="1" applyFill="1" applyBorder="1" applyAlignment="1">
      <alignment vertical="top"/>
    </xf>
    <xf numFmtId="9" fontId="29" fillId="24" borderId="10" xfId="0" applyNumberFormat="1" applyFont="1" applyFill="1" applyBorder="1" applyAlignment="1">
      <alignment horizontal="center" vertical="top"/>
    </xf>
    <xf numFmtId="0" fontId="30" fillId="24" borderId="10" xfId="0" applyFont="1" applyFill="1" applyBorder="1" applyAlignment="1">
      <alignment horizontal="right" vertical="top" wrapText="1"/>
    </xf>
    <xf numFmtId="1" fontId="29" fillId="24" borderId="10" xfId="0" applyNumberFormat="1" applyFont="1" applyFill="1" applyBorder="1" applyAlignment="1">
      <alignment horizontal="right" vertical="top"/>
    </xf>
    <xf numFmtId="168" fontId="29" fillId="24" borderId="20" xfId="0" applyNumberFormat="1" applyFont="1" applyFill="1" applyBorder="1" applyAlignment="1">
      <alignment horizontal="center" vertical="top"/>
    </xf>
    <xf numFmtId="0" fontId="42" fillId="31" borderId="25" xfId="0" applyFont="1" applyFill="1" applyBorder="1" applyAlignment="1">
      <alignment horizontal="center" vertical="top" wrapText="1"/>
    </xf>
    <xf numFmtId="0" fontId="42" fillId="31" borderId="33" xfId="0" applyFont="1" applyFill="1" applyBorder="1" applyAlignment="1">
      <alignment horizontal="center" vertical="top" wrapText="1"/>
    </xf>
    <xf numFmtId="41" fontId="29" fillId="24" borderId="18" xfId="0" applyNumberFormat="1" applyFont="1" applyFill="1" applyBorder="1" applyAlignment="1">
      <alignment horizontal="center" vertical="top"/>
    </xf>
    <xf numFmtId="41" fontId="29" fillId="0" borderId="10" xfId="0" applyNumberFormat="1" applyFont="1" applyBorder="1" applyAlignment="1">
      <alignment horizontal="center" vertical="top"/>
    </xf>
    <xf numFmtId="1" fontId="29" fillId="24" borderId="10" xfId="0" applyNumberFormat="1" applyFont="1" applyFill="1" applyBorder="1" applyAlignment="1">
      <alignment vertical="top"/>
    </xf>
    <xf numFmtId="41" fontId="29" fillId="0" borderId="18" xfId="0" applyNumberFormat="1" applyFont="1" applyBorder="1" applyAlignment="1">
      <alignment horizontal="center" vertical="top"/>
    </xf>
    <xf numFmtId="41" fontId="29" fillId="24" borderId="27" xfId="0" applyNumberFormat="1" applyFont="1" applyFill="1" applyBorder="1" applyAlignment="1">
      <alignment horizontal="center" vertical="top"/>
    </xf>
    <xf numFmtId="168" fontId="30" fillId="24" borderId="21" xfId="0" applyNumberFormat="1" applyFont="1" applyFill="1" applyBorder="1" applyAlignment="1">
      <alignment horizontal="center" vertical="top"/>
    </xf>
    <xf numFmtId="44" fontId="29" fillId="24" borderId="18" xfId="55" applyFont="1" applyFill="1" applyBorder="1" applyAlignment="1" applyProtection="1">
      <alignment horizontal="center" vertical="top"/>
    </xf>
    <xf numFmtId="9" fontId="29" fillId="24" borderId="18" xfId="0" applyNumberFormat="1" applyFont="1" applyFill="1" applyBorder="1" applyAlignment="1">
      <alignment horizontal="center" vertical="top"/>
    </xf>
    <xf numFmtId="0" fontId="30" fillId="24" borderId="34" xfId="0" applyFont="1" applyFill="1" applyBorder="1" applyAlignment="1">
      <alignment horizontal="right" vertical="top" wrapText="1"/>
    </xf>
    <xf numFmtId="1" fontId="29" fillId="24" borderId="18" xfId="0" applyNumberFormat="1" applyFont="1" applyFill="1" applyBorder="1" applyAlignment="1">
      <alignment horizontal="right" vertical="top"/>
    </xf>
    <xf numFmtId="0" fontId="29" fillId="24" borderId="10" xfId="0" applyFont="1" applyFill="1" applyBorder="1" applyAlignment="1">
      <alignment horizontal="center" vertical="top" wrapText="1"/>
    </xf>
    <xf numFmtId="168" fontId="29" fillId="24" borderId="26" xfId="0" applyNumberFormat="1" applyFont="1" applyFill="1" applyBorder="1" applyAlignment="1">
      <alignment horizontal="center" vertical="top"/>
    </xf>
    <xf numFmtId="0" fontId="43" fillId="0" borderId="0" xfId="0" applyFont="1"/>
    <xf numFmtId="0" fontId="32" fillId="27" borderId="24" xfId="0" applyFont="1" applyFill="1" applyBorder="1" applyAlignment="1">
      <alignment vertical="top"/>
    </xf>
    <xf numFmtId="0" fontId="32" fillId="27" borderId="22" xfId="0" applyFont="1" applyFill="1" applyBorder="1" applyAlignment="1">
      <alignment vertical="top"/>
    </xf>
    <xf numFmtId="2" fontId="32" fillId="27" borderId="22" xfId="0" applyNumberFormat="1" applyFont="1" applyFill="1" applyBorder="1" applyAlignment="1">
      <alignment horizontal="center" vertical="top"/>
    </xf>
    <xf numFmtId="0" fontId="29" fillId="27" borderId="22" xfId="0" applyFont="1" applyFill="1" applyBorder="1" applyAlignment="1">
      <alignment horizontal="right" vertical="top"/>
    </xf>
    <xf numFmtId="0" fontId="32" fillId="27" borderId="22" xfId="0" applyFont="1" applyFill="1" applyBorder="1" applyAlignment="1">
      <alignment horizontal="right" vertical="top"/>
    </xf>
    <xf numFmtId="164" fontId="44" fillId="25" borderId="16" xfId="0" applyNumberFormat="1" applyFont="1" applyFill="1" applyBorder="1" applyAlignment="1">
      <alignment horizontal="center" vertical="top" wrapText="1"/>
    </xf>
    <xf numFmtId="164" fontId="44" fillId="25" borderId="24" xfId="0" applyNumberFormat="1" applyFont="1" applyFill="1" applyBorder="1" applyAlignment="1">
      <alignment horizontal="center" vertical="top" wrapText="1"/>
    </xf>
    <xf numFmtId="164" fontId="44" fillId="25" borderId="32" xfId="0" applyNumberFormat="1" applyFont="1" applyFill="1" applyBorder="1" applyAlignment="1">
      <alignment horizontal="center" vertical="top" wrapText="1"/>
    </xf>
    <xf numFmtId="2" fontId="44" fillId="25" borderId="31" xfId="0" applyNumberFormat="1" applyFont="1" applyFill="1" applyBorder="1" applyAlignment="1">
      <alignment horizontal="center" vertical="top" wrapText="1"/>
    </xf>
    <xf numFmtId="0" fontId="31" fillId="25" borderId="33" xfId="0" applyFont="1" applyFill="1" applyBorder="1" applyAlignment="1">
      <alignment horizontal="center" vertical="top" wrapText="1"/>
    </xf>
    <xf numFmtId="0" fontId="44" fillId="25" borderId="31" xfId="0" applyFont="1" applyFill="1" applyBorder="1" applyAlignment="1">
      <alignment horizontal="center" vertical="top" wrapText="1"/>
    </xf>
    <xf numFmtId="0" fontId="44" fillId="25" borderId="35" xfId="0" applyFont="1" applyFill="1" applyBorder="1" applyAlignment="1">
      <alignment horizontal="center" vertical="top" wrapText="1"/>
    </xf>
    <xf numFmtId="2" fontId="30" fillId="24" borderId="17" xfId="0" applyNumberFormat="1" applyFont="1" applyFill="1" applyBorder="1" applyAlignment="1">
      <alignment horizontal="right" vertical="top"/>
    </xf>
    <xf numFmtId="2" fontId="45" fillId="24" borderId="0" xfId="0" applyNumberFormat="1" applyFont="1" applyFill="1" applyAlignment="1">
      <alignment vertical="top"/>
    </xf>
    <xf numFmtId="2" fontId="30" fillId="24" borderId="0" xfId="0" applyNumberFormat="1" applyFont="1" applyFill="1" applyAlignment="1">
      <alignment horizontal="right" vertical="top"/>
    </xf>
    <xf numFmtId="0" fontId="29" fillId="24" borderId="24" xfId="0" applyFont="1" applyFill="1" applyBorder="1" applyAlignment="1">
      <alignment horizontal="center" vertical="top"/>
    </xf>
    <xf numFmtId="0" fontId="40" fillId="24" borderId="0" xfId="0" applyFont="1" applyFill="1" applyAlignment="1">
      <alignment horizontal="left" vertical="top"/>
    </xf>
    <xf numFmtId="0" fontId="47" fillId="0" borderId="0" xfId="0" applyFont="1"/>
    <xf numFmtId="2" fontId="30" fillId="24" borderId="0" xfId="0" applyNumberFormat="1" applyFont="1" applyFill="1" applyAlignment="1">
      <alignment vertical="top"/>
    </xf>
    <xf numFmtId="0" fontId="29" fillId="24" borderId="0" xfId="0" applyFont="1" applyFill="1" applyAlignment="1">
      <alignment horizontal="right" vertical="top"/>
    </xf>
    <xf numFmtId="2" fontId="29" fillId="24" borderId="0" xfId="0" applyNumberFormat="1" applyFont="1" applyFill="1" applyAlignment="1">
      <alignment vertical="top" wrapText="1"/>
    </xf>
    <xf numFmtId="0" fontId="38" fillId="0" borderId="12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26" borderId="0" xfId="0" applyFont="1" applyFill="1" applyAlignment="1">
      <alignment vertical="top"/>
    </xf>
    <xf numFmtId="0" fontId="39" fillId="25" borderId="24" xfId="0" applyFont="1" applyFill="1" applyBorder="1" applyAlignment="1">
      <alignment horizontal="right" vertical="top"/>
    </xf>
    <xf numFmtId="0" fontId="36" fillId="25" borderId="22" xfId="0" applyFont="1" applyFill="1" applyBorder="1" applyAlignment="1">
      <alignment vertical="top"/>
    </xf>
    <xf numFmtId="0" fontId="36" fillId="25" borderId="22" xfId="0" applyFont="1" applyFill="1" applyBorder="1" applyAlignment="1">
      <alignment horizontal="center" vertical="top"/>
    </xf>
    <xf numFmtId="0" fontId="36" fillId="25" borderId="22" xfId="0" applyFont="1" applyFill="1" applyBorder="1" applyAlignment="1">
      <alignment horizontal="right" vertical="top"/>
    </xf>
    <xf numFmtId="0" fontId="37" fillId="25" borderId="22" xfId="0" applyFont="1" applyFill="1" applyBorder="1" applyAlignment="1">
      <alignment vertical="top" wrapText="1"/>
    </xf>
    <xf numFmtId="0" fontId="9" fillId="0" borderId="0" xfId="45"/>
    <xf numFmtId="0" fontId="44" fillId="25" borderId="44" xfId="0" applyFont="1" applyFill="1" applyBorder="1" applyAlignment="1">
      <alignment horizontal="center" vertical="top" wrapText="1"/>
    </xf>
    <xf numFmtId="165" fontId="30" fillId="24" borderId="24" xfId="54" applyNumberFormat="1" applyFont="1" applyFill="1" applyBorder="1" applyAlignment="1" applyProtection="1">
      <alignment horizontal="left" vertical="top"/>
    </xf>
    <xf numFmtId="1" fontId="30" fillId="24" borderId="23" xfId="0" applyNumberFormat="1" applyFont="1" applyFill="1" applyBorder="1" applyAlignment="1">
      <alignment vertical="top"/>
    </xf>
    <xf numFmtId="1" fontId="30" fillId="24" borderId="22" xfId="0" applyNumberFormat="1" applyFont="1" applyFill="1" applyBorder="1" applyAlignment="1">
      <alignment vertical="top"/>
    </xf>
    <xf numFmtId="1" fontId="30" fillId="24" borderId="41" xfId="0" applyNumberFormat="1" applyFont="1" applyFill="1" applyBorder="1" applyAlignment="1">
      <alignment vertical="top"/>
    </xf>
    <xf numFmtId="0" fontId="29" fillId="0" borderId="18" xfId="0" applyFont="1" applyBorder="1" applyAlignment="1">
      <alignment horizontal="center" vertical="top"/>
    </xf>
    <xf numFmtId="169" fontId="29" fillId="0" borderId="35" xfId="0" applyNumberFormat="1" applyFont="1" applyBorder="1" applyAlignment="1">
      <alignment horizontal="center" vertical="top"/>
    </xf>
    <xf numFmtId="1" fontId="30" fillId="0" borderId="44" xfId="0" applyNumberFormat="1" applyFont="1" applyBorder="1" applyAlignment="1">
      <alignment horizontal="left" vertical="top"/>
    </xf>
    <xf numFmtId="1" fontId="30" fillId="0" borderId="30" xfId="0" applyNumberFormat="1" applyFont="1" applyBorder="1" applyAlignment="1">
      <alignment horizontal="left" vertical="top"/>
    </xf>
    <xf numFmtId="10" fontId="30" fillId="29" borderId="45" xfId="65" applyNumberFormat="1" applyFont="1" applyFill="1" applyBorder="1" applyAlignment="1">
      <alignment horizontal="center" vertical="top"/>
    </xf>
    <xf numFmtId="165" fontId="30" fillId="24" borderId="45" xfId="0" applyNumberFormat="1" applyFont="1" applyFill="1" applyBorder="1" applyAlignment="1">
      <alignment horizontal="left" vertical="top"/>
    </xf>
    <xf numFmtId="0" fontId="29" fillId="24" borderId="46" xfId="0" applyFont="1" applyFill="1" applyBorder="1" applyAlignment="1">
      <alignment horizontal="center" vertical="top" wrapText="1"/>
    </xf>
    <xf numFmtId="0" fontId="29" fillId="0" borderId="46" xfId="0" applyFont="1" applyBorder="1" applyAlignment="1">
      <alignment horizontal="center" vertical="top" wrapText="1"/>
    </xf>
    <xf numFmtId="1" fontId="29" fillId="0" borderId="18" xfId="0" applyNumberFormat="1" applyFont="1" applyBorder="1" applyAlignment="1">
      <alignment horizontal="center" vertical="top"/>
    </xf>
    <xf numFmtId="2" fontId="29" fillId="0" borderId="18" xfId="0" applyNumberFormat="1" applyFont="1" applyBorder="1" applyAlignment="1">
      <alignment horizontal="left" vertical="top" wrapText="1"/>
    </xf>
    <xf numFmtId="165" fontId="33" fillId="24" borderId="10" xfId="54" applyNumberFormat="1" applyFont="1" applyFill="1" applyBorder="1" applyAlignment="1">
      <alignment vertical="top"/>
    </xf>
    <xf numFmtId="44" fontId="33" fillId="24" borderId="10" xfId="54" applyFont="1" applyFill="1" applyBorder="1" applyAlignment="1">
      <alignment vertical="top"/>
    </xf>
    <xf numFmtId="165" fontId="29" fillId="0" borderId="18" xfId="55" applyNumberFormat="1" applyFont="1" applyFill="1" applyBorder="1" applyAlignment="1" applyProtection="1">
      <alignment horizontal="center" vertical="top"/>
    </xf>
    <xf numFmtId="165" fontId="29" fillId="0" borderId="21" xfId="0" applyNumberFormat="1" applyFont="1" applyBorder="1" applyAlignment="1">
      <alignment horizontal="center" vertical="top"/>
    </xf>
    <xf numFmtId="0" fontId="55" fillId="24" borderId="17" xfId="0" applyFont="1" applyFill="1" applyBorder="1" applyAlignment="1">
      <alignment vertical="top"/>
    </xf>
    <xf numFmtId="0" fontId="29" fillId="24" borderId="0" xfId="0" applyFont="1" applyFill="1" applyAlignment="1">
      <alignment horizontal="center" vertical="top"/>
    </xf>
    <xf numFmtId="0" fontId="9" fillId="30" borderId="11" xfId="45" applyFill="1" applyBorder="1"/>
    <xf numFmtId="0" fontId="9" fillId="30" borderId="12" xfId="45" applyFill="1" applyBorder="1"/>
    <xf numFmtId="0" fontId="9" fillId="30" borderId="16" xfId="45" applyFill="1" applyBorder="1"/>
    <xf numFmtId="0" fontId="9" fillId="30" borderId="13" xfId="45" applyFill="1" applyBorder="1"/>
    <xf numFmtId="0" fontId="56" fillId="33" borderId="23" xfId="45" applyFont="1" applyFill="1" applyBorder="1"/>
    <xf numFmtId="0" fontId="56" fillId="33" borderId="22" xfId="45" applyFont="1" applyFill="1" applyBorder="1"/>
    <xf numFmtId="0" fontId="56" fillId="33" borderId="22" xfId="45" applyFont="1" applyFill="1" applyBorder="1" applyAlignment="1">
      <alignment horizontal="left" vertical="top"/>
    </xf>
    <xf numFmtId="0" fontId="56" fillId="33" borderId="22" xfId="45" applyFont="1" applyFill="1" applyBorder="1" applyAlignment="1">
      <alignment horizontal="left" indent="11"/>
    </xf>
    <xf numFmtId="0" fontId="9" fillId="30" borderId="17" xfId="45" applyFill="1" applyBorder="1"/>
    <xf numFmtId="2" fontId="57" fillId="26" borderId="23" xfId="45" applyNumberFormat="1" applyFont="1" applyFill="1" applyBorder="1" applyAlignment="1">
      <alignment horizontal="left" vertical="top"/>
    </xf>
    <xf numFmtId="2" fontId="57" fillId="26" borderId="22" xfId="45" applyNumberFormat="1" applyFont="1" applyFill="1" applyBorder="1" applyAlignment="1">
      <alignment horizontal="left" vertical="top"/>
    </xf>
    <xf numFmtId="0" fontId="58" fillId="26" borderId="24" xfId="45" applyFont="1" applyFill="1" applyBorder="1" applyAlignment="1">
      <alignment horizontal="center" vertical="top"/>
    </xf>
    <xf numFmtId="0" fontId="54" fillId="25" borderId="12" xfId="45" applyFont="1" applyFill="1" applyBorder="1" applyAlignment="1">
      <alignment vertical="top"/>
    </xf>
    <xf numFmtId="2" fontId="59" fillId="26" borderId="22" xfId="45" applyNumberFormat="1" applyFont="1" applyFill="1" applyBorder="1" applyAlignment="1">
      <alignment horizontal="left" vertical="top"/>
    </xf>
    <xf numFmtId="0" fontId="57" fillId="26" borderId="22" xfId="45" applyFont="1" applyFill="1" applyBorder="1" applyAlignment="1">
      <alignment horizontal="left" vertical="top"/>
    </xf>
    <xf numFmtId="2" fontId="60" fillId="26" borderId="24" xfId="45" applyNumberFormat="1" applyFont="1" applyFill="1" applyBorder="1" applyAlignment="1">
      <alignment horizontal="left" vertical="top"/>
    </xf>
    <xf numFmtId="0" fontId="29" fillId="0" borderId="0" xfId="45" applyFont="1" applyAlignment="1">
      <alignment vertical="top"/>
    </xf>
    <xf numFmtId="2" fontId="57" fillId="34" borderId="23" xfId="45" applyNumberFormat="1" applyFont="1" applyFill="1" applyBorder="1" applyAlignment="1">
      <alignment horizontal="left" vertical="top"/>
    </xf>
    <xf numFmtId="2" fontId="59" fillId="34" borderId="22" xfId="45" applyNumberFormat="1" applyFont="1" applyFill="1" applyBorder="1" applyAlignment="1">
      <alignment horizontal="left" vertical="top"/>
    </xf>
    <xf numFmtId="0" fontId="57" fillId="34" borderId="22" xfId="45" applyFont="1" applyFill="1" applyBorder="1" applyAlignment="1">
      <alignment horizontal="left" vertical="top"/>
    </xf>
    <xf numFmtId="2" fontId="60" fillId="34" borderId="24" xfId="45" applyNumberFormat="1" applyFont="1" applyFill="1" applyBorder="1" applyAlignment="1">
      <alignment horizontal="left" vertical="top"/>
    </xf>
    <xf numFmtId="0" fontId="61" fillId="35" borderId="50" xfId="45" applyFont="1" applyFill="1" applyBorder="1" applyAlignment="1">
      <alignment horizontal="center"/>
    </xf>
    <xf numFmtId="0" fontId="61" fillId="35" borderId="47" xfId="45" applyFont="1" applyFill="1" applyBorder="1"/>
    <xf numFmtId="0" fontId="62" fillId="35" borderId="42" xfId="45" applyFont="1" applyFill="1" applyBorder="1"/>
    <xf numFmtId="0" fontId="61" fillId="35" borderId="29" xfId="45" applyFont="1" applyFill="1" applyBorder="1" applyAlignment="1">
      <alignment horizontal="center" vertical="top" wrapText="1"/>
    </xf>
    <xf numFmtId="0" fontId="61" fillId="35" borderId="40" xfId="45" applyFont="1" applyFill="1" applyBorder="1" applyAlignment="1">
      <alignment horizontal="center" vertical="top" wrapText="1"/>
    </xf>
    <xf numFmtId="0" fontId="30" fillId="0" borderId="43" xfId="45" applyFont="1" applyBorder="1" applyAlignment="1">
      <alignment horizontal="center" vertical="top"/>
    </xf>
    <xf numFmtId="172" fontId="29" fillId="24" borderId="10" xfId="71" applyNumberFormat="1" applyFont="1" applyFill="1" applyBorder="1"/>
    <xf numFmtId="172" fontId="30" fillId="0" borderId="49" xfId="45" applyNumberFormat="1" applyFont="1" applyBorder="1"/>
    <xf numFmtId="2" fontId="30" fillId="24" borderId="39" xfId="70" applyNumberFormat="1" applyFont="1" applyFill="1" applyBorder="1" applyAlignment="1">
      <alignment vertical="top"/>
    </xf>
    <xf numFmtId="2" fontId="30" fillId="24" borderId="14" xfId="70" applyNumberFormat="1" applyFont="1" applyFill="1" applyBorder="1" applyAlignment="1">
      <alignment vertical="top"/>
    </xf>
    <xf numFmtId="0" fontId="46" fillId="0" borderId="51" xfId="45" applyFont="1" applyBorder="1" applyAlignment="1">
      <alignment horizontal="center"/>
    </xf>
    <xf numFmtId="0" fontId="63" fillId="24" borderId="48" xfId="45" applyFont="1" applyFill="1" applyBorder="1"/>
    <xf numFmtId="0" fontId="29" fillId="24" borderId="52" xfId="45" applyFont="1" applyFill="1" applyBorder="1"/>
    <xf numFmtId="0" fontId="29" fillId="24" borderId="46" xfId="45" applyFont="1" applyFill="1" applyBorder="1"/>
    <xf numFmtId="0" fontId="29" fillId="24" borderId="28" xfId="45" applyFont="1" applyFill="1" applyBorder="1"/>
    <xf numFmtId="172" fontId="30" fillId="0" borderId="53" xfId="45" applyNumberFormat="1" applyFont="1" applyBorder="1"/>
    <xf numFmtId="0" fontId="64" fillId="30" borderId="23" xfId="45" applyFont="1" applyFill="1" applyBorder="1"/>
    <xf numFmtId="0" fontId="48" fillId="30" borderId="22" xfId="45" applyFont="1" applyFill="1" applyBorder="1"/>
    <xf numFmtId="172" fontId="48" fillId="30" borderId="22" xfId="45" applyNumberFormat="1" applyFont="1" applyFill="1" applyBorder="1"/>
    <xf numFmtId="172" fontId="48" fillId="30" borderId="24" xfId="45" applyNumberFormat="1" applyFont="1" applyFill="1" applyBorder="1"/>
    <xf numFmtId="0" fontId="57" fillId="32" borderId="36" xfId="45" applyFont="1" applyFill="1" applyBorder="1" applyAlignment="1">
      <alignment vertical="top"/>
    </xf>
    <xf numFmtId="0" fontId="53" fillId="32" borderId="37" xfId="45" applyFont="1" applyFill="1" applyBorder="1" applyAlignment="1">
      <alignment vertical="top"/>
    </xf>
    <xf numFmtId="0" fontId="48" fillId="32" borderId="22" xfId="45" applyFont="1" applyFill="1" applyBorder="1"/>
    <xf numFmtId="10" fontId="64" fillId="29" borderId="22" xfId="45" applyNumberFormat="1" applyFont="1" applyFill="1" applyBorder="1" applyAlignment="1">
      <alignment horizontal="center"/>
    </xf>
    <xf numFmtId="173" fontId="48" fillId="32" borderId="22" xfId="45" applyNumberFormat="1" applyFont="1" applyFill="1" applyBorder="1"/>
    <xf numFmtId="172" fontId="48" fillId="32" borderId="24" xfId="45" applyNumberFormat="1" applyFont="1" applyFill="1" applyBorder="1"/>
    <xf numFmtId="0" fontId="56" fillId="25" borderId="13" xfId="45" applyFont="1" applyFill="1" applyBorder="1"/>
    <xf numFmtId="165" fontId="66" fillId="25" borderId="16" xfId="45" applyNumberFormat="1" applyFont="1" applyFill="1" applyBorder="1" applyAlignment="1">
      <alignment horizontal="left" vertical="top"/>
    </xf>
    <xf numFmtId="0" fontId="9" fillId="30" borderId="36" xfId="45" applyFill="1" applyBorder="1"/>
    <xf numFmtId="0" fontId="9" fillId="30" borderId="37" xfId="45" applyFill="1" applyBorder="1"/>
    <xf numFmtId="0" fontId="49" fillId="30" borderId="37" xfId="45" applyFont="1" applyFill="1" applyBorder="1"/>
    <xf numFmtId="0" fontId="9" fillId="30" borderId="38" xfId="45" applyFill="1" applyBorder="1"/>
    <xf numFmtId="0" fontId="56" fillId="33" borderId="24" xfId="45" applyFont="1" applyFill="1" applyBorder="1" applyAlignment="1">
      <alignment horizontal="right"/>
    </xf>
    <xf numFmtId="0" fontId="62" fillId="35" borderId="0" xfId="45" applyFont="1" applyFill="1"/>
    <xf numFmtId="0" fontId="61" fillId="35" borderId="0" xfId="45" applyFont="1" applyFill="1" applyAlignment="1">
      <alignment horizontal="center" vertical="top" wrapText="1"/>
    </xf>
    <xf numFmtId="0" fontId="65" fillId="25" borderId="0" xfId="45" applyFont="1" applyFill="1"/>
    <xf numFmtId="173" fontId="50" fillId="25" borderId="0" xfId="45" applyNumberFormat="1" applyFont="1" applyFill="1"/>
    <xf numFmtId="0" fontId="52" fillId="24" borderId="10" xfId="0" applyFont="1" applyFill="1" applyBorder="1" applyAlignment="1">
      <alignment horizontal="left" vertical="top" wrapText="1"/>
    </xf>
    <xf numFmtId="0" fontId="52" fillId="24" borderId="10" xfId="0" applyFont="1" applyFill="1" applyBorder="1" applyAlignment="1">
      <alignment horizontal="left" vertical="top"/>
    </xf>
    <xf numFmtId="2" fontId="8" fillId="24" borderId="0" xfId="0" applyNumberFormat="1" applyFont="1" applyFill="1" applyAlignment="1">
      <alignment horizontal="left" vertical="top"/>
    </xf>
    <xf numFmtId="1" fontId="31" fillId="25" borderId="11" xfId="0" applyNumberFormat="1" applyFont="1" applyFill="1" applyBorder="1" applyAlignment="1">
      <alignment vertical="top"/>
    </xf>
    <xf numFmtId="1" fontId="31" fillId="25" borderId="12" xfId="0" applyNumberFormat="1" applyFont="1" applyFill="1" applyBorder="1" applyAlignment="1">
      <alignment vertical="top"/>
    </xf>
    <xf numFmtId="1" fontId="31" fillId="25" borderId="54" xfId="0" applyNumberFormat="1" applyFont="1" applyFill="1" applyBorder="1" applyAlignment="1">
      <alignment vertical="top"/>
    </xf>
    <xf numFmtId="165" fontId="31" fillId="25" borderId="55" xfId="0" applyNumberFormat="1" applyFont="1" applyFill="1" applyBorder="1" applyAlignment="1">
      <alignment horizontal="center" vertical="top"/>
    </xf>
    <xf numFmtId="165" fontId="31" fillId="25" borderId="56" xfId="55" applyNumberFormat="1" applyFont="1" applyFill="1" applyBorder="1" applyAlignment="1" applyProtection="1">
      <alignment horizontal="center" vertical="top"/>
    </xf>
    <xf numFmtId="2" fontId="29" fillId="24" borderId="39" xfId="70" applyNumberFormat="1" applyFont="1" applyFill="1" applyBorder="1" applyAlignment="1">
      <alignment vertical="top"/>
    </xf>
    <xf numFmtId="174" fontId="29" fillId="24" borderId="10" xfId="71" applyNumberFormat="1" applyFont="1" applyFill="1" applyBorder="1"/>
    <xf numFmtId="2" fontId="30" fillId="24" borderId="0" xfId="0" applyNumberFormat="1" applyFont="1" applyFill="1" applyAlignment="1">
      <alignment horizontal="left" vertical="top"/>
    </xf>
    <xf numFmtId="170" fontId="29" fillId="0" borderId="10" xfId="0" applyNumberFormat="1" applyFont="1" applyBorder="1" applyAlignment="1">
      <alignment vertical="top"/>
    </xf>
    <xf numFmtId="0" fontId="32" fillId="27" borderId="23" xfId="0" applyFont="1" applyFill="1" applyBorder="1" applyAlignment="1">
      <alignment horizontal="left" vertical="top"/>
    </xf>
    <xf numFmtId="2" fontId="29" fillId="24" borderId="15" xfId="45" applyNumberFormat="1" applyFont="1" applyFill="1" applyBorder="1" applyAlignment="1">
      <alignment horizontal="left" vertical="top" wrapText="1"/>
    </xf>
    <xf numFmtId="2" fontId="29" fillId="24" borderId="15" xfId="70" applyNumberFormat="1" applyFont="1" applyFill="1" applyBorder="1" applyAlignment="1">
      <alignment horizontal="left" vertical="top"/>
    </xf>
    <xf numFmtId="0" fontId="29" fillId="36" borderId="0" xfId="0" applyFont="1" applyFill="1" applyAlignment="1">
      <alignment horizontal="center" vertical="top"/>
    </xf>
    <xf numFmtId="165" fontId="29" fillId="24" borderId="0" xfId="0" applyNumberFormat="1" applyFont="1" applyFill="1" applyAlignment="1">
      <alignment horizontal="center" vertical="top"/>
    </xf>
    <xf numFmtId="0" fontId="29" fillId="29" borderId="0" xfId="0" applyFont="1" applyFill="1" applyAlignment="1">
      <alignment horizontal="center" vertical="top"/>
    </xf>
    <xf numFmtId="0" fontId="30" fillId="24" borderId="23" xfId="0" applyFont="1" applyFill="1" applyBorder="1" applyAlignment="1">
      <alignment horizontal="left" vertical="top"/>
    </xf>
    <xf numFmtId="2" fontId="68" fillId="24" borderId="15" xfId="45" applyNumberFormat="1" applyFont="1" applyFill="1" applyBorder="1" applyAlignment="1">
      <alignment horizontal="left" vertical="top" wrapText="1"/>
    </xf>
    <xf numFmtId="0" fontId="29" fillId="24" borderId="10" xfId="0" applyFont="1" applyFill="1" applyBorder="1" applyAlignment="1">
      <alignment horizontal="center" vertical="center" wrapText="1"/>
    </xf>
    <xf numFmtId="41" fontId="29" fillId="0" borderId="35" xfId="0" applyNumberFormat="1" applyFont="1" applyBorder="1" applyAlignment="1">
      <alignment horizontal="center" vertical="top"/>
    </xf>
    <xf numFmtId="2" fontId="29" fillId="0" borderId="18" xfId="0" applyNumberFormat="1" applyFont="1" applyBorder="1" applyAlignment="1">
      <alignment horizontal="center" vertical="top"/>
    </xf>
    <xf numFmtId="169" fontId="29" fillId="0" borderId="18" xfId="0" applyNumberFormat="1" applyFont="1" applyBorder="1" applyAlignment="1">
      <alignment horizontal="center" vertical="top"/>
    </xf>
    <xf numFmtId="175" fontId="29" fillId="0" borderId="18" xfId="0" applyNumberFormat="1" applyFont="1" applyBorder="1" applyAlignment="1">
      <alignment horizontal="center" vertical="top"/>
    </xf>
    <xf numFmtId="2" fontId="29" fillId="0" borderId="15" xfId="45" applyNumberFormat="1" applyFont="1" applyBorder="1" applyAlignment="1">
      <alignment horizontal="left" vertical="top" wrapText="1"/>
    </xf>
    <xf numFmtId="1" fontId="29" fillId="0" borderId="10" xfId="0" applyNumberFormat="1" applyFont="1" applyBorder="1" applyAlignment="1">
      <alignment vertical="top"/>
    </xf>
    <xf numFmtId="170" fontId="29" fillId="24" borderId="10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165" fontId="29" fillId="24" borderId="18" xfId="55" applyNumberFormat="1" applyFont="1" applyFill="1" applyBorder="1" applyAlignment="1" applyProtection="1">
      <alignment horizontal="center" vertical="top"/>
    </xf>
    <xf numFmtId="165" fontId="29" fillId="24" borderId="21" xfId="0" applyNumberFormat="1" applyFont="1" applyFill="1" applyBorder="1" applyAlignment="1">
      <alignment horizontal="center" vertical="top"/>
    </xf>
    <xf numFmtId="170" fontId="69" fillId="0" borderId="10" xfId="0" applyNumberFormat="1" applyFont="1" applyBorder="1" applyAlignment="1">
      <alignment vertical="top" wrapText="1"/>
    </xf>
    <xf numFmtId="44" fontId="29" fillId="26" borderId="18" xfId="0" applyNumberFormat="1" applyFont="1" applyFill="1" applyBorder="1" applyAlignment="1">
      <alignment horizontal="center" vertical="top"/>
    </xf>
    <xf numFmtId="44" fontId="29" fillId="0" borderId="34" xfId="0" applyNumberFormat="1" applyFont="1" applyBorder="1" applyAlignment="1">
      <alignment horizontal="center" vertical="top"/>
    </xf>
    <xf numFmtId="44" fontId="29" fillId="24" borderId="27" xfId="0" applyNumberFormat="1" applyFont="1" applyFill="1" applyBorder="1" applyAlignment="1">
      <alignment horizontal="center" vertical="top"/>
    </xf>
    <xf numFmtId="44" fontId="29" fillId="24" borderId="18" xfId="0" applyNumberFormat="1" applyFont="1" applyFill="1" applyBorder="1" applyAlignment="1">
      <alignment horizontal="center" vertical="top"/>
    </xf>
    <xf numFmtId="44" fontId="29" fillId="24" borderId="10" xfId="0" applyNumberFormat="1" applyFont="1" applyFill="1" applyBorder="1" applyAlignment="1">
      <alignment horizontal="center" vertical="top"/>
    </xf>
    <xf numFmtId="44" fontId="29" fillId="24" borderId="10" xfId="0" applyNumberFormat="1" applyFont="1" applyFill="1" applyBorder="1" applyAlignment="1">
      <alignment vertical="top"/>
    </xf>
    <xf numFmtId="44" fontId="32" fillId="27" borderId="22" xfId="0" applyNumberFormat="1" applyFont="1" applyFill="1" applyBorder="1" applyAlignment="1">
      <alignment vertical="top"/>
    </xf>
    <xf numFmtId="44" fontId="29" fillId="24" borderId="34" xfId="0" applyNumberFormat="1" applyFont="1" applyFill="1" applyBorder="1" applyAlignment="1">
      <alignment horizontal="center" vertical="top"/>
    </xf>
    <xf numFmtId="44" fontId="29" fillId="24" borderId="15" xfId="0" applyNumberFormat="1" applyFont="1" applyFill="1" applyBorder="1" applyAlignment="1">
      <alignment horizontal="center" vertical="top"/>
    </xf>
    <xf numFmtId="2" fontId="30" fillId="37" borderId="0" xfId="0" applyNumberFormat="1" applyFont="1" applyFill="1" applyAlignment="1">
      <alignment horizontal="right" vertical="top"/>
    </xf>
    <xf numFmtId="170" fontId="29" fillId="37" borderId="10" xfId="0" applyNumberFormat="1" applyFont="1" applyFill="1" applyBorder="1" applyAlignment="1">
      <alignment vertical="top"/>
    </xf>
    <xf numFmtId="44" fontId="29" fillId="29" borderId="18" xfId="0" applyNumberFormat="1" applyFont="1" applyFill="1" applyBorder="1" applyAlignment="1">
      <alignment horizontal="center" vertical="top"/>
    </xf>
    <xf numFmtId="165" fontId="29" fillId="29" borderId="18" xfId="0" applyNumberFormat="1" applyFont="1" applyFill="1" applyBorder="1" applyAlignment="1">
      <alignment horizontal="center" vertical="top"/>
    </xf>
    <xf numFmtId="1" fontId="29" fillId="27" borderId="22" xfId="0" applyNumberFormat="1" applyFont="1" applyFill="1" applyBorder="1" applyAlignment="1">
      <alignment horizontal="right" vertical="top"/>
    </xf>
    <xf numFmtId="165" fontId="29" fillId="26" borderId="18" xfId="0" applyNumberFormat="1" applyFont="1" applyFill="1" applyBorder="1" applyAlignment="1">
      <alignment horizontal="center" vertical="top"/>
    </xf>
    <xf numFmtId="165" fontId="29" fillId="0" borderId="34" xfId="0" applyNumberFormat="1" applyFont="1" applyBorder="1" applyAlignment="1">
      <alignment horizontal="center" vertical="top"/>
    </xf>
    <xf numFmtId="0" fontId="29" fillId="24" borderId="12" xfId="0" applyFont="1" applyFill="1" applyBorder="1" applyAlignment="1">
      <alignment vertical="top"/>
    </xf>
    <xf numFmtId="0" fontId="29" fillId="24" borderId="12" xfId="0" applyFont="1" applyFill="1" applyBorder="1" applyAlignment="1">
      <alignment horizontal="left" vertical="top"/>
    </xf>
    <xf numFmtId="0" fontId="29" fillId="24" borderId="16" xfId="0" applyFont="1" applyFill="1" applyBorder="1" applyAlignment="1">
      <alignment horizontal="left" vertical="top"/>
    </xf>
    <xf numFmtId="0" fontId="67" fillId="24" borderId="37" xfId="0" applyFont="1" applyFill="1" applyBorder="1" applyAlignment="1">
      <alignment vertical="top"/>
    </xf>
    <xf numFmtId="0" fontId="30" fillId="24" borderId="37" xfId="0" applyFont="1" applyFill="1" applyBorder="1" applyAlignment="1">
      <alignment vertical="top"/>
    </xf>
    <xf numFmtId="0" fontId="29" fillId="24" borderId="37" xfId="0" applyFont="1" applyFill="1" applyBorder="1" applyAlignment="1">
      <alignment horizontal="left" vertical="top"/>
    </xf>
    <xf numFmtId="0" fontId="29" fillId="24" borderId="38" xfId="0" applyFont="1" applyFill="1" applyBorder="1" applyAlignment="1">
      <alignment horizontal="left" vertical="top"/>
    </xf>
    <xf numFmtId="0" fontId="67" fillId="24" borderId="12" xfId="0" applyFont="1" applyFill="1" applyBorder="1" applyAlignment="1">
      <alignment vertical="top"/>
    </xf>
    <xf numFmtId="0" fontId="70" fillId="24" borderId="11" xfId="0" applyFont="1" applyFill="1" applyBorder="1" applyAlignment="1">
      <alignment vertical="top"/>
    </xf>
    <xf numFmtId="0" fontId="70" fillId="24" borderId="36" xfId="0" applyFont="1" applyFill="1" applyBorder="1" applyAlignment="1">
      <alignment vertical="top"/>
    </xf>
  </cellXfs>
  <cellStyles count="7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00000000-0005-0000-0000-00001B000000}"/>
    <cellStyle name="Comma 2 2" xfId="48" xr:uid="{00000000-0005-0000-0000-00001C000000}"/>
    <cellStyle name="Comma 3" xfId="71" xr:uid="{00000000-0005-0000-0000-00001D000000}"/>
    <cellStyle name="Currency [0] 2" xfId="57" xr:uid="{00000000-0005-0000-0000-00001E000000}"/>
    <cellStyle name="Currency 10" xfId="55" xr:uid="{00000000-0005-0000-0000-00001F000000}"/>
    <cellStyle name="Currency 2" xfId="50" xr:uid="{00000000-0005-0000-0000-000020000000}"/>
    <cellStyle name="Currency 3" xfId="54" xr:uid="{00000000-0005-0000-0000-000021000000}"/>
    <cellStyle name="Currency 4" xfId="60" xr:uid="{00000000-0005-0000-0000-000022000000}"/>
    <cellStyle name="Currency 4 2" xfId="64" xr:uid="{00000000-0005-0000-0000-000023000000}"/>
    <cellStyle name="Currency 4 2 2" xfId="68" xr:uid="{00000000-0005-0000-0000-000024000000}"/>
    <cellStyle name="Currency 5" xfId="63" xr:uid="{00000000-0005-0000-0000-000025000000}"/>
    <cellStyle name="Currency 5 2" xfId="67" xr:uid="{00000000-0005-0000-0000-000026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61" xr:uid="{00000000-0005-0000-0000-00002E000000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 xr:uid="{00000000-0005-0000-0000-000033000000}"/>
    <cellStyle name="Normal 2 2" xfId="47" xr:uid="{00000000-0005-0000-0000-000034000000}"/>
    <cellStyle name="Normal 2 3" xfId="45" xr:uid="{00000000-0005-0000-0000-000035000000}"/>
    <cellStyle name="Normal 2 3 2" xfId="52" xr:uid="{00000000-0005-0000-0000-000036000000}"/>
    <cellStyle name="Normal 3" xfId="37" xr:uid="{00000000-0005-0000-0000-000037000000}"/>
    <cellStyle name="Normal 4" xfId="43" xr:uid="{00000000-0005-0000-0000-000038000000}"/>
    <cellStyle name="Normal 4 2" xfId="53" xr:uid="{00000000-0005-0000-0000-000039000000}"/>
    <cellStyle name="Normal 4 3" xfId="51" xr:uid="{00000000-0005-0000-0000-00003A000000}"/>
    <cellStyle name="Normal 5" xfId="49" xr:uid="{00000000-0005-0000-0000-00003B000000}"/>
    <cellStyle name="Normal 6" xfId="56" xr:uid="{00000000-0005-0000-0000-00003C000000}"/>
    <cellStyle name="Normal 6 2" xfId="58" xr:uid="{00000000-0005-0000-0000-00003D000000}"/>
    <cellStyle name="Normal 6 3" xfId="69" xr:uid="{00000000-0005-0000-0000-00003E000000}"/>
    <cellStyle name="Normal 7" xfId="59" xr:uid="{00000000-0005-0000-0000-00003F000000}"/>
    <cellStyle name="Normal 7 2" xfId="62" xr:uid="{00000000-0005-0000-0000-000040000000}"/>
    <cellStyle name="Normal 7 2 2" xfId="66" xr:uid="{00000000-0005-0000-0000-000041000000}"/>
    <cellStyle name="Normal 7 2 2 2" xfId="70" xr:uid="{00000000-0005-0000-0000-000042000000}"/>
    <cellStyle name="Note" xfId="38" builtinId="10" customBuiltin="1"/>
    <cellStyle name="Output" xfId="39" builtinId="21" customBuiltin="1"/>
    <cellStyle name="Percent 2" xfId="65" xr:uid="{00000000-0005-0000-0000-000046000000}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55D61"/>
      <color rgb="FFFFFF99"/>
      <color rgb="FFFED2DC"/>
      <color rgb="FFFE9494"/>
      <color rgb="FFFFDF79"/>
      <color rgb="FFD5D5D5"/>
      <color rgb="FFB94517"/>
      <color rgb="FFF3F3F3"/>
      <color rgb="FFF50101"/>
      <color rgb="FFCE20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DC5599-81B5-4E6B-9D5A-BBF3DB41D6B4}"/>
            </a:ext>
          </a:extLst>
        </xdr:cNvPr>
        <xdr:cNvSpPr txBox="1"/>
      </xdr:nvSpPr>
      <xdr:spPr>
        <a:xfrm>
          <a:off x="4574116" y="81915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E1A269-E01C-4A67-9E1D-A6B169079890}"/>
            </a:ext>
          </a:extLst>
        </xdr:cNvPr>
        <xdr:cNvSpPr txBox="1"/>
      </xdr:nvSpPr>
      <xdr:spPr>
        <a:xfrm>
          <a:off x="4574116" y="81915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668A63-D398-423F-89C6-FD532608823C}"/>
            </a:ext>
          </a:extLst>
        </xdr:cNvPr>
        <xdr:cNvSpPr txBox="1"/>
      </xdr:nvSpPr>
      <xdr:spPr>
        <a:xfrm>
          <a:off x="4574116" y="81915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0F550E5-C6D1-4523-B075-ACEAD70A5307}"/>
            </a:ext>
          </a:extLst>
        </xdr:cNvPr>
        <xdr:cNvSpPr txBox="1"/>
      </xdr:nvSpPr>
      <xdr:spPr>
        <a:xfrm>
          <a:off x="4574116" y="81915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D4AA1F7-EC0F-4980-A932-77343BC178E6}"/>
            </a:ext>
          </a:extLst>
        </xdr:cNvPr>
        <xdr:cNvSpPr txBox="1"/>
      </xdr:nvSpPr>
      <xdr:spPr>
        <a:xfrm>
          <a:off x="4574116" y="81915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EDF3F9E-6D2C-4697-99F9-7E76F36B2647}"/>
            </a:ext>
          </a:extLst>
        </xdr:cNvPr>
        <xdr:cNvSpPr txBox="1"/>
      </xdr:nvSpPr>
      <xdr:spPr>
        <a:xfrm>
          <a:off x="4574116" y="8096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E8E811C-EB19-4137-920E-E37FA710A05A}"/>
            </a:ext>
          </a:extLst>
        </xdr:cNvPr>
        <xdr:cNvSpPr txBox="1"/>
      </xdr:nvSpPr>
      <xdr:spPr>
        <a:xfrm>
          <a:off x="4574116" y="8096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8925265-E600-404F-AC78-9F86DDAE8A9D}"/>
            </a:ext>
          </a:extLst>
        </xdr:cNvPr>
        <xdr:cNvSpPr txBox="1"/>
      </xdr:nvSpPr>
      <xdr:spPr>
        <a:xfrm>
          <a:off x="4574116" y="8096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90036DE-6BE6-495D-B264-3D9222260B26}"/>
            </a:ext>
          </a:extLst>
        </xdr:cNvPr>
        <xdr:cNvSpPr txBox="1"/>
      </xdr:nvSpPr>
      <xdr:spPr>
        <a:xfrm>
          <a:off x="4574116" y="8096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9D0EB83-1ADE-4383-9F98-0AFF0DDA383B}"/>
            </a:ext>
          </a:extLst>
        </xdr:cNvPr>
        <xdr:cNvSpPr txBox="1"/>
      </xdr:nvSpPr>
      <xdr:spPr>
        <a:xfrm>
          <a:off x="4574116" y="8096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82450FE-782B-4CC9-BD31-240E604F859C}"/>
            </a:ext>
          </a:extLst>
        </xdr:cNvPr>
        <xdr:cNvSpPr txBox="1"/>
      </xdr:nvSpPr>
      <xdr:spPr>
        <a:xfrm>
          <a:off x="4574116" y="8286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35AA29B-4C82-4EAB-9B52-090308A0B7B1}"/>
            </a:ext>
          </a:extLst>
        </xdr:cNvPr>
        <xdr:cNvSpPr txBox="1"/>
      </xdr:nvSpPr>
      <xdr:spPr>
        <a:xfrm>
          <a:off x="4574116" y="8286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566C677-FEB4-444A-8D66-FB4D8338925C}"/>
            </a:ext>
          </a:extLst>
        </xdr:cNvPr>
        <xdr:cNvSpPr txBox="1"/>
      </xdr:nvSpPr>
      <xdr:spPr>
        <a:xfrm>
          <a:off x="4574116" y="8286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41CE213-08CF-4228-AE7B-404ADD60093D}"/>
            </a:ext>
          </a:extLst>
        </xdr:cNvPr>
        <xdr:cNvSpPr txBox="1"/>
      </xdr:nvSpPr>
      <xdr:spPr>
        <a:xfrm>
          <a:off x="4574116" y="8286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A910654-69AE-4CF8-921C-F41CB7175082}"/>
            </a:ext>
          </a:extLst>
        </xdr:cNvPr>
        <xdr:cNvSpPr txBox="1"/>
      </xdr:nvSpPr>
      <xdr:spPr>
        <a:xfrm>
          <a:off x="4574116" y="8286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2915A79-8DBB-485E-8D35-A1328290D57F}"/>
            </a:ext>
          </a:extLst>
        </xdr:cNvPr>
        <xdr:cNvSpPr txBox="1"/>
      </xdr:nvSpPr>
      <xdr:spPr>
        <a:xfrm>
          <a:off x="7378699" y="105865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0479942-FF88-4B23-AD29-0577F81F0361}"/>
            </a:ext>
          </a:extLst>
        </xdr:cNvPr>
        <xdr:cNvSpPr txBox="1"/>
      </xdr:nvSpPr>
      <xdr:spPr>
        <a:xfrm>
          <a:off x="7378699" y="105865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4FFB374-DEAB-4EA5-B662-1EF3D03F6F8E}"/>
            </a:ext>
          </a:extLst>
        </xdr:cNvPr>
        <xdr:cNvSpPr txBox="1"/>
      </xdr:nvSpPr>
      <xdr:spPr>
        <a:xfrm>
          <a:off x="7378699" y="105865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DE2B39D-2AE4-436E-9A1E-561EA1DAAE0E}"/>
            </a:ext>
          </a:extLst>
        </xdr:cNvPr>
        <xdr:cNvSpPr txBox="1"/>
      </xdr:nvSpPr>
      <xdr:spPr>
        <a:xfrm>
          <a:off x="7378699" y="105865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4FEA9EC-BF39-490E-8761-80B13FDB358B}"/>
            </a:ext>
          </a:extLst>
        </xdr:cNvPr>
        <xdr:cNvSpPr txBox="1"/>
      </xdr:nvSpPr>
      <xdr:spPr>
        <a:xfrm>
          <a:off x="7378699" y="105865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44CC5EC-B4C8-4DEF-BB5F-344D2D5E6961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9C79DCF-5D06-41FA-A36C-28363A1AE9E7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D921D62C-D7D4-4712-94D3-6B1157662596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5D0E091-20D5-469D-AD0E-2EFC62E21F5A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4843594-BAC9-4D41-AFFB-B0E2283974FA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21C1AA1-07EC-45DD-97C8-A6489995D8FE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E333254-A529-4A94-A536-D830BAED9F27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A09C030-0C15-4980-B35E-430B6744A910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7823B20-15F8-41D6-BFD3-DC59753BAE8F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BDB1915-456A-4816-8E8A-8C832DEC9866}"/>
            </a:ext>
          </a:extLst>
        </xdr:cNvPr>
        <xdr:cNvSpPr txBox="1"/>
      </xdr:nvSpPr>
      <xdr:spPr>
        <a:xfrm>
          <a:off x="7369984" y="113403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7FFAC88-CD64-4E7A-9D6A-17238C0E8188}"/>
            </a:ext>
          </a:extLst>
        </xdr:cNvPr>
        <xdr:cNvSpPr txBox="1"/>
      </xdr:nvSpPr>
      <xdr:spPr>
        <a:xfrm>
          <a:off x="7369984" y="258631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B459B87-6500-46D0-80CC-50C89F524BEE}"/>
            </a:ext>
          </a:extLst>
        </xdr:cNvPr>
        <xdr:cNvSpPr txBox="1"/>
      </xdr:nvSpPr>
      <xdr:spPr>
        <a:xfrm>
          <a:off x="7369984" y="258631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355B56E-9B77-443E-937F-E20B4F5325B8}"/>
            </a:ext>
          </a:extLst>
        </xdr:cNvPr>
        <xdr:cNvSpPr txBox="1"/>
      </xdr:nvSpPr>
      <xdr:spPr>
        <a:xfrm>
          <a:off x="7369984" y="258631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190C0EC-C4DC-414B-B31B-3DBE4435BE21}"/>
            </a:ext>
          </a:extLst>
        </xdr:cNvPr>
        <xdr:cNvSpPr txBox="1"/>
      </xdr:nvSpPr>
      <xdr:spPr>
        <a:xfrm>
          <a:off x="7369984" y="258631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4021238-D92E-4FC6-B2F2-4ED6828290F6}"/>
            </a:ext>
          </a:extLst>
        </xdr:cNvPr>
        <xdr:cNvSpPr txBox="1"/>
      </xdr:nvSpPr>
      <xdr:spPr>
        <a:xfrm>
          <a:off x="7369984" y="258631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57006F3-0C58-4AB9-BFA9-63054264A365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1EC0E1F-9908-46A5-A2C0-B51905E67D4F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E99B313-4B67-4A7D-9A84-37A58FE23B46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D5C0406-C4E3-47ED-80D6-AF29E2DFC6D0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AD41DEC-C0A3-4F74-8FD2-9F898B750A00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60BA760-D5A4-4AFC-B157-517211B25509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A3B8ACD-AA36-41AE-9A25-DE78727FF436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02D5D12-1FB7-4DD5-8E30-09950107F31E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2317556-AA8E-4744-88A6-CD8FED5EAA64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39BBA7A-7617-4436-8F85-6DA307B5293D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176E90E-2213-47F7-BA03-292B4896D8DF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B9268FE-573C-4DCA-A041-EE6BD8DE682E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F6184D7-E731-47E5-A603-7CC975F3A6A9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9607BD9-A9D8-4F3B-9E58-2D11CB7E3590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EECD789D-F6C0-483D-BFC4-A5E7A63A0B1E}"/>
            </a:ext>
          </a:extLst>
        </xdr:cNvPr>
        <xdr:cNvSpPr txBox="1"/>
      </xdr:nvSpPr>
      <xdr:spPr>
        <a:xfrm>
          <a:off x="7378699" y="373909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D4BDE25-7DCB-434B-BFBD-BE7F86B3F966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212E6AE-E065-434B-AC82-10F2F8C86F19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56AA3B69-DBAB-4987-8477-C2C7F33142EC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0FC3782-B772-425C-9700-5A552C077500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E387FE1-4427-407F-9162-7EBCCAE47A96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EA24AD3E-274D-4DF0-AF06-66D4F4F81B1E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889EE99-DFFB-4C5B-8472-2F070A176080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3033C69-1650-4511-B1DD-AF34793AEB34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2BB42DB-1B08-463D-B0F7-B4B3C508D0D0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46E432C-530D-44EC-B596-772DA9E31660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1305B11-C0BF-4A80-B50F-D23D5A9A795D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FB0D05B-B701-4449-BB64-A5E8CEB1A849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594847F-C75D-4570-B4CA-4E64A8369AD2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BEB4DD1-74E7-4795-A37C-BC7ED4EDF908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CC1652D-B512-4FAE-9BD3-2E32933CF762}"/>
            </a:ext>
          </a:extLst>
        </xdr:cNvPr>
        <xdr:cNvSpPr txBox="1"/>
      </xdr:nvSpPr>
      <xdr:spPr>
        <a:xfrm>
          <a:off x="7378699" y="40788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4AF960D-F062-4606-9F7B-3D90CB0FD6B3}"/>
            </a:ext>
          </a:extLst>
        </xdr:cNvPr>
        <xdr:cNvSpPr txBox="1"/>
      </xdr:nvSpPr>
      <xdr:spPr>
        <a:xfrm>
          <a:off x="7374466" y="27127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C196080-4327-4948-B0C4-A5406E02CE84}"/>
            </a:ext>
          </a:extLst>
        </xdr:cNvPr>
        <xdr:cNvSpPr txBox="1"/>
      </xdr:nvSpPr>
      <xdr:spPr>
        <a:xfrm>
          <a:off x="7374466" y="27127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5EC254AC-AE5C-4E17-B2DE-4908F0834666}"/>
            </a:ext>
          </a:extLst>
        </xdr:cNvPr>
        <xdr:cNvSpPr txBox="1"/>
      </xdr:nvSpPr>
      <xdr:spPr>
        <a:xfrm>
          <a:off x="7374466" y="27127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2AD0E32-A5E1-4C52-9BB7-C40F82F81379}"/>
            </a:ext>
          </a:extLst>
        </xdr:cNvPr>
        <xdr:cNvSpPr txBox="1"/>
      </xdr:nvSpPr>
      <xdr:spPr>
        <a:xfrm>
          <a:off x="7374466" y="27127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C99D52E-B3BA-4A03-9C15-21E67C22CF39}"/>
            </a:ext>
          </a:extLst>
        </xdr:cNvPr>
        <xdr:cNvSpPr txBox="1"/>
      </xdr:nvSpPr>
      <xdr:spPr>
        <a:xfrm>
          <a:off x="7374466" y="27127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814669F-42BB-496C-BA91-EAF683E09B8C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D8BB38C-6090-4DFF-B70F-8AD4D136CBDB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2B1B93C-1FC3-4F6E-A096-0BB7EC5719B4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BFF4266-1B0B-4227-8C19-0B7F0814865F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F00D898-0909-4D18-AEF7-44688DB1FBA7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4725957-6888-4E07-8BB7-F1D6AACA6D41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95E0B75-AD20-4388-93C1-412F1A0CCB19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91C374A-CF2C-4C36-A3CC-0C9FA3662532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24D9E77-9319-466C-88B6-71E1AC30934B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537421D-3CEE-4CE0-97F3-E845D9910DD0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3212DD5-864E-4AC2-8303-3B8E8532CBFC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82F6CC6-440B-4FFB-8B16-A9430EB4DF7C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91170A0-8E65-4162-8AE7-4D0E5F44C196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F83362B-8DD3-4F0F-912B-8BDCACA968F4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030C1A9-607C-4ACA-8393-F4F2EE50A692}"/>
            </a:ext>
          </a:extLst>
        </xdr:cNvPr>
        <xdr:cNvSpPr txBox="1"/>
      </xdr:nvSpPr>
      <xdr:spPr>
        <a:xfrm>
          <a:off x="7378699" y="32871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05EA28B-F3C5-43C3-B2FB-B29753852C86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7D4DDDB-C985-4125-85C4-8B7B5153715B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500F6BC-DF16-468D-838C-9A01B9614DB9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3E6ED29-6E3A-41FF-BFCE-37464A80CB93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B88B32F-1C0D-4E27-BF49-481CCE72FA58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D3FC2CB-0CAF-4333-A2D0-0677B2540682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10F7ECC-E66E-4F9C-A9C5-6C705FD8E012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3CD5B1F-09AB-4D32-B00A-DDC55E80D8D3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3610A19-FADA-4FF8-97D4-BA8933BCE2F1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8000721-3A69-4E6F-B401-AB04A292FFA7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7B90858-E3A7-4AFC-861E-AC1B50E83F7D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30170A0-22EA-4AEC-95FF-135CA917A2B9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50A5B62-C1BE-43F3-AB7A-89224F723F93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067E6D0-B1A9-4BFE-9241-5F11D35F994A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182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329E1B9-6E9F-48C0-B4DE-D373FED6DD31}"/>
            </a:ext>
          </a:extLst>
        </xdr:cNvPr>
        <xdr:cNvSpPr txBox="1"/>
      </xdr:nvSpPr>
      <xdr:spPr>
        <a:xfrm>
          <a:off x="7378699" y="38174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636E353A-CC5F-4E23-9497-78C80CDF72D2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D49C21A-7172-45E8-81CF-F6EDD85AC8F2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CFA43B9B-D0EC-4865-8836-9C320BD4D2B2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A189C16-D77B-415B-9F1E-C562D2A139D7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AAB14F0-B660-4510-ADB7-62D5A4EDFF53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F166130-3C85-454B-8169-EFE25611024A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8F13CCE-4719-4192-89E0-6DE29BF88F8B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0937F13-7EBF-4DE3-A412-85CD86CE9371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5E6D1E0-9C12-48D9-9172-4D22CB04CE53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209F71E-0BCB-42FE-AC33-0E1C61494BC5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4D38C7D-E406-487D-A6D6-4C3D30459271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00E09DD-7535-4180-80B1-9D6F1EBC4E83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AAC7E2B-6C30-4CC0-8F52-14BB540F39E9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3B8B79E-8181-4E58-A2F5-4C77219EDED4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EC04966-A042-47C9-8522-94421A2A30F1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D14D019-CD7E-4544-891B-E80A1180DE9E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1465B30-3689-4F1C-B79A-038328FB5D3F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F5BA8BA5-EC28-45AC-B66F-F8667F4E4A06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F71B937-555D-45D9-95FA-EA7DFC65A6E5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D1589F9-7975-41C9-B0DC-AA64206DA421}"/>
            </a:ext>
          </a:extLst>
        </xdr:cNvPr>
        <xdr:cNvSpPr txBox="1"/>
      </xdr:nvSpPr>
      <xdr:spPr>
        <a:xfrm>
          <a:off x="7369984" y="762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6AF6AE0-D3AE-49D5-A1AD-2FF6DE62D15C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7C65949-F2F2-4F19-8B76-1485AE038FAA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1A6C0BD1-7234-478B-A134-19C5192B9672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E21E6DB-5E60-410D-B722-729849F9F340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612795DD-CDB7-46EC-8960-AB5E2416462D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542DC7C-D671-4EA2-98C9-D0B0A1DCFAF3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3366BD68-B33E-4816-8D6B-DE5EE895D985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CA3FE0E-6085-47BD-8147-3FE102840895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2FE3B0C6-CD8B-4BDF-94E4-486F22AF9230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7022CDB-4172-4291-AC38-EE730EA77561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4A06E0E-28E7-4853-A64A-0C7D31B71C4C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A5609702-0F62-40BD-84A3-6426A8ADF098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869AD8D-12AC-46B6-AE09-41E1AF29FE13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0FE005D-DD78-49F7-ACF6-8BEC1D926353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3CE7AA7E-29A2-4939-9CB5-16860C5B5280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1C82185-B54D-4364-97D9-8198D132891A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4E08C34B-C656-4D58-8630-C8C630F72613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D8E3D28-5976-4F67-BD70-1ABFF6E36654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37CB3FAD-7E05-44A6-8128-C50BF7960560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6542CC2-C657-4662-8256-41C100A8D7E0}"/>
            </a:ext>
          </a:extLst>
        </xdr:cNvPr>
        <xdr:cNvSpPr txBox="1"/>
      </xdr:nvSpPr>
      <xdr:spPr>
        <a:xfrm>
          <a:off x="7369984" y="86621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699FE2D-98A9-4A73-919A-4FF907C5D781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E93B8C15-087B-4FAA-8D09-B81879739D27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7CF0BBD-D740-454F-A65D-0A017EB0981C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EF463E7D-F293-4510-AAD9-966190BAF590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87CD47C-AF16-4B7D-B3B5-1BCEADE28362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8631182-81B7-4838-B218-E050F685C825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4AC3882F-E029-43F8-B8ED-F1673552EE5F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607DBE9C-97F2-4F7A-95B5-946010A63043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2BB27EAA-EE63-4303-8076-621F20F9CB81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E136295-7B4F-46CF-BBD7-44113CF6CBD9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A1A0B85-16D1-452F-8F42-D13493DFFDD4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424D0F4-6B30-4E25-A948-AD73BC313319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F3BF3ED-D1B9-4E89-89B2-33DE1110833F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A94C40A-21A7-4F0A-8810-FB3BF1879C17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4AF77C2D-EA9D-42C3-9B0B-FB22969D1D03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E488639-7217-4A17-9D60-240749E57688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92E59CC4-0638-4FA0-8898-3217AFAF658A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1E01100-82ED-45A7-BA3F-EC0B9379CC25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0017B26-F1A8-4C54-A858-8677415B4ED4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B276C669-D689-495C-A655-0569D1BA843E}"/>
            </a:ext>
          </a:extLst>
        </xdr:cNvPr>
        <xdr:cNvSpPr txBox="1"/>
      </xdr:nvSpPr>
      <xdr:spPr>
        <a:xfrm>
          <a:off x="7369984" y="134918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E3273A3-BFF4-43DD-8D14-C97F413C6FA3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0CE4A28-1CA3-447A-A012-A0E4E2F036CD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DB593A3-6053-4B6A-BB58-6F4B70EAC178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EC246FF-54E1-4620-B853-92489525FF9C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1050BBD-DD05-4812-B176-A1970C836BE2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9EA6793C-8AD0-481B-8651-EDCA4929F140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BE12244F-976C-4D9F-AAA2-E4399CA9EA3B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02625CA-6F53-49E6-AC1F-FC04DFF8249F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1371C53-5110-4C57-8BFE-DFC41C7B2825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C5F7367-01BD-415F-B74E-F4323D0E3DE4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922FDAA-1944-4AE9-8337-F69CDE5094BA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B499C90-FBC5-44C0-AAF7-1823B5E4DF47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D80FDD0-FCF1-4488-86A6-FBE8A1E75898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E4A3DA9-927B-473D-AA25-618F8E967369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2EC94BB-9394-480A-9BC9-66A20F450DDC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B87FEB5-1FA4-4211-9187-116BBD28C446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5F249DFE-B7E0-4FBF-B5F0-0155D045AB57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7A922FE-CD7C-4F28-9CF4-D83F148A94AE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569F38A-A263-4192-B015-34DD73BFDBD4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B4DDBDDD-B23E-4618-B0F8-BB3F8950E885}"/>
            </a:ext>
          </a:extLst>
        </xdr:cNvPr>
        <xdr:cNvSpPr txBox="1"/>
      </xdr:nvSpPr>
      <xdr:spPr>
        <a:xfrm>
          <a:off x="7378699" y="104034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94BC477-8E4B-4DCA-BD6F-3EC95E5D72F0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E11C35C7-6016-4CF7-8D4C-0378793719EB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AEF9FBD4-C36B-4DB5-995C-2E8912DD433D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FB24278-21DE-4E02-BE37-A0F7ACCF1826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CBE7D64F-0B9C-4A17-A861-7F227B216989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61137EB-F737-42D5-8206-FA4AD0D942D0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28060EA1-32C9-4216-B4E4-34DDBF119A29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ABCEAE2-E906-4032-B57B-61F4FEB9D79D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8E8E84CC-FBBC-4514-9F0D-A00D512A0163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9EE1372-031C-438D-A406-C918EB78D288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E7745A8-0C08-41BB-93CD-0A9249547E8E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0FE688A-1472-44E1-A95C-5EBBA3D0EFAE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BF901C3-CF88-4E89-B780-889D2FA8A413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087096B-7A1D-4D7B-A38F-38266866484B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59EBB70-EF62-44D8-AC19-0F632EBFACB7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055A7CD-CD7C-4320-8F4D-FC779FCD7F48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4D371D4-096B-4DC4-AE7E-3A3F9DFF4759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7630667-C79B-4F85-911D-830FDB47A20E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222CCADB-2174-494D-BF90-4ED76216A450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C843F268-C532-4CBB-A89A-E8D065355055}"/>
            </a:ext>
          </a:extLst>
        </xdr:cNvPr>
        <xdr:cNvSpPr txBox="1"/>
      </xdr:nvSpPr>
      <xdr:spPr>
        <a:xfrm>
          <a:off x="7378699" y="9980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A6EE68B-78C7-4D8C-9F6E-6C6188356265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B9C2ACD-155C-4866-A9D9-D70E230400DE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9649581F-52FA-4FD5-AF2A-2440AC14F7AF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64626384-2653-46DE-B354-EB7C244A3CAF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33DE5BC2-7879-4FE6-8CD8-DEDAE5C4F91E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E0A9D50-8EBA-46A8-BADC-AA12F57B5CA0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1C0373B6-3ACE-4BAB-AE3A-F3B4420C2748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670C4336-6807-48FA-95CE-35C61D0D9B7B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AE7CB36-6666-4AAE-83F5-10FAF08ED56F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5F2165A-A572-4331-9502-079652F022C9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EF1D1E2-A917-4247-AEE3-9A9EB477A55A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3C02F37-8D6B-46D0-A26F-12FBA51B77A8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4D12080E-4EF0-44A5-B94C-B6B118189087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4A59C71-67B3-48BD-A16E-C7727B693F4D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84DB56E3-E73C-4E87-9F75-DF4B0478524C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43920487-D957-4D08-A51B-724A39C478B1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160D7D0-6395-4080-980B-B44BB102CA55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24251F1-0585-445C-A177-905F15F07056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8E185D6D-04AD-4475-A802-F7B84CA2F900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6B873D86-6983-4F7D-8E88-8C4489D10477}"/>
            </a:ext>
          </a:extLst>
        </xdr:cNvPr>
        <xdr:cNvSpPr txBox="1"/>
      </xdr:nvSpPr>
      <xdr:spPr>
        <a:xfrm>
          <a:off x="7378699" y="120861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3912F8D-50B7-4FAB-B24C-250D02B482BD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756C075-43C2-4DB8-AD36-5BD6B72929B1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0EAD2C4-FE56-49E1-BD10-D7DD89599D93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4404BEFF-673B-46B3-81AA-24CEF5FAC633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EA1CD2E-1C6F-48A6-A1C2-781944E5B365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4BCF461A-6842-4512-886A-116F283CDECE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C386593D-D321-4369-B47C-4AC3290DC6FB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F9B1B5C-7908-4775-BE41-75EB6B7082E7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220C97E-91E3-428E-BAA5-2027836A72B1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E7053DE6-46B8-4DF4-9A64-651F37D3130D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61DC10DE-6B29-408B-9CC5-9A7E564B7E3A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7B886EC0-3192-46FF-A17C-4F1DFA60692E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3C975AD0-4CFC-4944-891A-9441947887C5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A4B2ECD7-2302-4AE8-B474-6292E6AF1443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263581D9-B033-4B50-B4AE-33EE77FB6307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CFAEF14-3B6D-4379-AC02-A209E839F02D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D02C2EC0-B5DA-4757-9C3C-DC1A925C48C5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518D24F-3F1D-45F4-B7B2-B7F886381FCD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86B1A57-8CC2-4724-9EBE-E2C4D45A2765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9140EA72-194F-43E0-AC6A-862A2855E66A}"/>
            </a:ext>
          </a:extLst>
        </xdr:cNvPr>
        <xdr:cNvSpPr txBox="1"/>
      </xdr:nvSpPr>
      <xdr:spPr>
        <a:xfrm>
          <a:off x="7378699" y="1314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CFEE0BE8-E10C-4D6B-BCC7-F097E49CBB8F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2948ABE-9E2E-4600-9B11-7DA527D78AF5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1DD9A17-67EA-418D-907B-DB765B651CD5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9987BA9-37A6-4426-9E64-CFAD64F33BAE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9C44656E-BA1B-4CAE-9A07-C595996745D7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82702E01-9FA4-4E4C-ABF0-B8A0D357C079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CB5665E-4A21-49D9-9BEA-D354ED163DE1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44DDE1E3-4292-4AA5-A66C-BA057291B78A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3F39CDF-C1BD-4F76-BD7E-CE4A79B37512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E6EB47F2-2BDE-44A2-9D88-914C491118B9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92DF32EF-220D-4970-B68D-030D137B5CF1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D71D90F2-F5E4-445F-8EC8-60B232D00C5C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E2D87A3-219B-42E3-BC1B-D7C44B1418E8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437FDAF8-11C3-43BE-A0D9-F55E53A599EF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0EE781D-06DE-40D9-AFDB-595E142B307C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2F91AE4-F781-4AE0-B360-796B4274B028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A89A8F0-F732-407C-AEDC-E3237633D937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5B6C302-FCD7-415E-B36E-EFA0A1487C20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CF39F2B-A1C7-4936-A08E-527644AC90EE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882C4E4C-1E68-4E2E-8D1B-E330F1555025}"/>
            </a:ext>
          </a:extLst>
        </xdr:cNvPr>
        <xdr:cNvSpPr txBox="1"/>
      </xdr:nvSpPr>
      <xdr:spPr>
        <a:xfrm>
          <a:off x="7717366" y="1250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1BB80DB-F5E1-4C9C-943C-B346F7E413F2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806765D-789C-4FAE-A4CD-7F1AF54E17C4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9850A4C9-C91C-4239-A2B0-97FB0ACECD2B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D783A7B-4245-4230-96E1-60E4409B6B0F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1DA4F88-FF82-4DB5-8A31-9B9932F11B7D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9349D7F3-A1CE-42A0-A0A4-6271BF49B957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670FD7C6-E5F3-4FA9-918C-863725D14726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11C5CC45-D48F-4E52-88D5-8B385684E3B0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9C7A4BD-7C6F-42BD-ABE4-80751273D0D5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F418EA1B-E78D-47BA-990E-6BF6B38921E4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5E7CA166-90B9-431B-9A29-E57FBA3F79F1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86BCFCC9-25C9-47C8-BE39-CB47F58FF2F1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53DBA45C-0375-430C-A8E5-FF7160EF01DD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2BF5BF57-4711-4A7E-AC8E-046C74F86180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A74E0FA-D329-441F-818C-A5FAD6675958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F3C9D13-1117-4E9B-A0CD-70EA3E268F88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E93A4E7-2074-457A-A9D8-507B18264EF1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97B91F4-34F1-44D0-9CBA-D396513F2EF6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6EAA7662-41B0-4AF9-AF20-3F04176842CF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AAB6FC6-6EA2-4834-85A3-7AF96CDC4B72}"/>
            </a:ext>
          </a:extLst>
        </xdr:cNvPr>
        <xdr:cNvSpPr txBox="1"/>
      </xdr:nvSpPr>
      <xdr:spPr>
        <a:xfrm>
          <a:off x="7717366" y="10900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B9856189-A341-4C0C-94E5-34C4CD28B178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39DFF7A-69DE-4157-85B3-0BD49746D55F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E7A053A-7B7B-4201-A96D-DC1CEF29BA72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1A263BF-15DB-4470-ADBF-34F00ECBFBB1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669B0642-776C-4446-8B87-244F1AE5B72F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829A83DE-EA38-403E-A59A-762921C45733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3B4EFA2-F293-47CE-8C93-2A4479C44E92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E22F1C5-3FD8-477F-8B93-208CACA8FE4B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A718DDA-FD95-4110-A098-1322B4C53869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A7266A1-B926-48A5-AFE3-01F5CD543C08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04AE47A-0BD1-4091-9814-350F4026B019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C245CCA9-14C8-461A-91E8-AB4B9ED63CAB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6C09C45-7383-45FD-8E86-E382DC618FB0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42D3CE0C-BB23-4CA9-BD03-60B9B2AD1A93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578B19EA-7795-4916-96F6-371F93CBAA1B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9EDFC8B3-7700-457C-B7C9-7A68A18DF1C6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514F38E-1137-4270-9EA3-C5B62276C6CB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89452CD-8C2D-495F-B683-B5A1D4F8D3CF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9E71C5B-3516-4C8B-AEEC-1A05985AEB39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2F427B8-8CD1-4C89-A898-2199F54D6CDE}"/>
            </a:ext>
          </a:extLst>
        </xdr:cNvPr>
        <xdr:cNvSpPr txBox="1"/>
      </xdr:nvSpPr>
      <xdr:spPr>
        <a:xfrm>
          <a:off x="7717366" y="1047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18F09A78-BFCC-49C0-972B-E47D918D9C0F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D15B3B47-95A7-4C9E-9CAA-D204422A9897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63960C77-3EA7-4155-A61F-FC1047A1EE4E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E1819C2-AB40-4FC8-BD44-A6242F5253E2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273E1625-A0B7-408F-9A29-316211EA4347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692B4CE5-E94C-4323-A5C1-89C644AAAC77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234BFE9-8B8A-4F40-B9A3-089F347D4465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545EFCAA-AAD0-4253-BD5B-E50C89996FCD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E5E5A05D-FCEA-41DF-AEEC-C1B6064921D4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9B505B48-B46D-48C4-8B71-95FBDDF7A368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826166E2-1D17-4E60-ABAE-930235C8D065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974D1586-BFF9-40B6-A22C-336546EA19A7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9E23430-5A52-4292-AB73-C07736F7C21E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5713E04-06F0-406F-BCF8-663D0A3201AE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959FE24F-C45F-40C8-B8BA-C10ED253F1A0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4A4A0DA-0AE9-4573-B308-A8CDF30B1110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9A703F3-4C5B-43CD-83C3-67994BEB30FC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8043B8B-C3D1-4328-A354-190BF49E6D6E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58F6DB6-3D50-4098-93A0-04333A7C2FB6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B675CB2C-805D-4BE0-9AF0-D8242C754E61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61B29A0-0613-4DA8-9453-03CD79A2A19A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653D879-22F3-4F48-87AB-2538912CF29F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63697DE-44AE-4905-8F79-787D0B7E43A7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D542C33-2264-4192-850D-96AE38FB7300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9188EB42-9B33-45AD-8EA4-038BA1AC62E1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574F673-FA06-4E3B-94C1-B9AEAE888FB6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D9D37DD-D710-4908-A928-98ACE56F0C69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55BBD9E4-B5E5-4630-ACA0-18F10926E730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61FB4B92-3424-4DEC-A389-6E91E07F050E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39CBAB2-8BFD-461A-9F60-19FF5A153683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E1E993B1-A91B-4947-A901-7C0D4170E54E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E90F824-2659-401B-AC5A-CC3D072CC3C6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7E8C6239-1C4E-48F6-B405-19D706610EA0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69EA028-5FC1-4383-962F-98332535E611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379AC63-AF28-4D81-BEE5-D76C6B49EF67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4A7BA2D-42F2-4B2E-BA8A-6D06F0E19F70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B526D759-2773-47B1-94D4-A37B06BDA4AA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14A4135B-34C8-4F0B-A839-E3EDB0F0DB5D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6C63F602-C5EB-44B0-8ADF-6A25167795AE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5234A83C-66A6-4C2B-9B40-CC09FAD7406B}"/>
            </a:ext>
          </a:extLst>
        </xdr:cNvPr>
        <xdr:cNvSpPr txBox="1"/>
      </xdr:nvSpPr>
      <xdr:spPr>
        <a:xfrm>
          <a:off x="7717366" y="11027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A0FB766-D685-4482-BA9D-676AF20198B5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F46C753F-4867-4CEF-B3B2-F0A4155FDB56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07D4984-A64B-4DD5-AB10-DCF85C6C7A1A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3C7484E5-63CF-4D9F-8514-9463569D56FD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2C1A5AFB-BB39-468B-B7D7-BAEEEBBB1AF8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1BCBF073-FE57-4F86-BCF4-FCC62B9944CD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8948E606-99F4-472E-BC25-B2DC8BDFCF68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472CDAC-30BC-4FED-89B1-90F5A72071FD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7AF7A535-B26A-4569-9C97-A0CA89B9FAF8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73E1591-0DA4-407D-A909-38A18585EE45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F906E43D-C749-439A-A3A4-5809CF70B025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6F22794D-34FC-4432-BCEE-3D5C884D114C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D4D88C70-5B86-4C21-A762-27548E3B6FFE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647B6E03-8633-46F3-B534-77228DC71616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C186F499-BF45-42C8-93C2-FDD02EF31263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AC708112-A138-4BBA-9964-1470174A8DFE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E9ADBA9-949B-44A9-A16F-19E6608A0206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6ADA692-1D78-4867-BCDA-9C025FB48B08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F2880089-1C3B-4DFB-B4CE-907F061489C1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779464D7-E9EF-4082-8F96-C1CE0D9A178D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A3937FE-6B79-4997-AF49-3CB5B21EE953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5BA1B5A-8AFA-4663-A4B4-6ADD9DA7F4E7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EF2B2AB6-900B-4A6A-A890-FD7ACC08294C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0ED7F9E-3A65-4E54-8F42-CD3E0C729D56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24BD267C-8632-4AC7-8C99-7336875FB3C7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9E09DE8-E1B8-4CC5-ACAA-81C5BF0E11A1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CE51702E-2686-4D9C-AA6A-808B24DA9E37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4EB38F64-F4A6-4060-A938-DF47E2B10DE5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A27BC21D-866F-44CE-AB6B-DE63A3051475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4E464AC6-944D-458A-971F-512E79607ADD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632A45A6-C594-4560-A0FA-0C668BEBD266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8D4A59BE-25B0-40FD-A5CF-720C22E69F95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5B1D7C70-ADE1-44A4-B045-24EF842B099C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A0A8B14-B736-4D07-9EB3-A40565260050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E87FB0F-99E7-4D8D-A271-5EC7D871FF21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B745D93-58D0-4EA9-BE42-0D1073DBC5E9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B372D5CF-1675-4203-B85D-62975416E0E5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9B7D545D-7A0A-4588-9F8D-8FBB1FB339D7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B761A2A-88F2-4D8F-A618-5F54C3B34BA5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897466</xdr:colOff>
      <xdr:row>175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A781C1D-29D6-412D-BB48-5C1ECB258208}"/>
            </a:ext>
          </a:extLst>
        </xdr:cNvPr>
        <xdr:cNvSpPr txBox="1"/>
      </xdr:nvSpPr>
      <xdr:spPr>
        <a:xfrm>
          <a:off x="7717366" y="145520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F42"/>
  <sheetViews>
    <sheetView view="pageBreakPreview" zoomScale="85" zoomScaleNormal="100" zoomScaleSheetLayoutView="85" workbookViewId="0">
      <selection activeCell="N13" sqref="N13"/>
    </sheetView>
  </sheetViews>
  <sheetFormatPr defaultColWidth="8.88671875" defaultRowHeight="15" x14ac:dyDescent="0.2"/>
  <cols>
    <col min="1" max="1" width="8" style="106" customWidth="1"/>
    <col min="2" max="2" width="3.88671875" style="106" customWidth="1"/>
    <col min="3" max="3" width="10.33203125" style="106" customWidth="1"/>
    <col min="4" max="4" width="23.21875" style="106" customWidth="1"/>
    <col min="5" max="5" width="8" style="106" customWidth="1"/>
    <col min="6" max="6" width="12" style="106" customWidth="1"/>
    <col min="7" max="9" width="13.44140625" style="106" customWidth="1"/>
    <col min="10" max="10" width="14.88671875" style="106" customWidth="1"/>
    <col min="11" max="16384" width="8.88671875" style="106"/>
  </cols>
  <sheetData>
    <row r="1" spans="1:32" ht="31.5" customHeight="1" thickBot="1" x14ac:dyDescent="0.25">
      <c r="A1" s="128"/>
      <c r="B1" s="129"/>
      <c r="C1" s="129"/>
      <c r="D1" s="129"/>
      <c r="E1" s="129"/>
      <c r="F1" s="129"/>
      <c r="G1" s="129"/>
      <c r="H1" s="129"/>
      <c r="I1" s="129"/>
      <c r="J1" s="129"/>
      <c r="K1" s="130"/>
    </row>
    <row r="2" spans="1:32" ht="16.5" thickBot="1" x14ac:dyDescent="0.3">
      <c r="A2" s="131"/>
      <c r="B2" s="132"/>
      <c r="C2" s="133"/>
      <c r="D2" s="134" t="s">
        <v>32</v>
      </c>
      <c r="E2" s="135"/>
      <c r="F2" s="135"/>
      <c r="G2" s="135"/>
      <c r="H2" s="135"/>
      <c r="I2" s="135"/>
      <c r="J2" s="181" t="str">
        <f>'DETAILED ESTIMATE'!R$1</f>
        <v>Rev0 BE PR 12514</v>
      </c>
      <c r="K2" s="136"/>
    </row>
    <row r="3" spans="1:32" s="140" customFormat="1" ht="18" thickBot="1" x14ac:dyDescent="0.25">
      <c r="A3" s="131"/>
      <c r="B3" s="137" t="s">
        <v>28</v>
      </c>
      <c r="C3" s="138"/>
      <c r="D3" s="138" t="str">
        <f>'DETAILED ESTIMATE'!C$1</f>
        <v>NORTH APRON EXPANSION CLARKSDALE-COAHOMA COUNTY AIRPORT</v>
      </c>
      <c r="E3" s="138"/>
      <c r="F3" s="138"/>
      <c r="G3" s="138"/>
      <c r="H3" s="138"/>
      <c r="I3" s="138"/>
      <c r="J3" s="139"/>
      <c r="K3" s="13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1:32" s="144" customFormat="1" ht="16.5" customHeight="1" thickBot="1" x14ac:dyDescent="0.25">
      <c r="A4" s="131"/>
      <c r="B4" s="137" t="s">
        <v>8</v>
      </c>
      <c r="C4" s="141"/>
      <c r="D4" s="138" t="str">
        <f>'DETAILED ESTIMATE'!C$2</f>
        <v>COAHOMA COUNTY AIRPORT CLARKSDALE, MISSISSIPP</v>
      </c>
      <c r="E4" s="142"/>
      <c r="F4" s="142"/>
      <c r="G4" s="142"/>
      <c r="H4" s="142"/>
      <c r="I4" s="142"/>
      <c r="J4" s="143"/>
      <c r="K4" s="13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</row>
    <row r="5" spans="1:32" s="144" customFormat="1" ht="16.5" customHeight="1" thickBot="1" x14ac:dyDescent="0.25">
      <c r="A5" s="131"/>
      <c r="B5" s="145"/>
      <c r="C5" s="146"/>
      <c r="D5" s="147" t="s">
        <v>41</v>
      </c>
      <c r="E5" s="147"/>
      <c r="F5" s="147"/>
      <c r="G5" s="147"/>
      <c r="H5" s="147"/>
      <c r="I5" s="147"/>
      <c r="J5" s="148"/>
      <c r="K5" s="13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</row>
    <row r="6" spans="1:32" ht="42.75" x14ac:dyDescent="0.2">
      <c r="A6" s="131"/>
      <c r="B6" s="149" t="s">
        <v>33</v>
      </c>
      <c r="C6" s="150" t="s">
        <v>1</v>
      </c>
      <c r="D6" s="182"/>
      <c r="E6" s="151"/>
      <c r="F6" s="183" t="s">
        <v>34</v>
      </c>
      <c r="G6" s="152" t="s">
        <v>35</v>
      </c>
      <c r="H6" s="152" t="s">
        <v>20</v>
      </c>
      <c r="I6" s="152" t="s">
        <v>36</v>
      </c>
      <c r="J6" s="153" t="s">
        <v>37</v>
      </c>
      <c r="K6" s="136"/>
    </row>
    <row r="7" spans="1:32" ht="15.75" x14ac:dyDescent="0.25">
      <c r="A7" s="131"/>
      <c r="B7" s="154">
        <v>1</v>
      </c>
      <c r="C7" s="194" t="s">
        <v>143</v>
      </c>
      <c r="D7" s="194"/>
      <c r="E7" s="158"/>
      <c r="F7" s="155">
        <f>'DETAILED ESTIMATE'!$M$10</f>
        <v>55000</v>
      </c>
      <c r="G7" s="155">
        <f>'DETAILED ESTIMATE'!$N$10</f>
        <v>0</v>
      </c>
      <c r="H7" s="155">
        <v>0</v>
      </c>
      <c r="I7" s="155">
        <f>G7+F7+H7</f>
        <v>55000</v>
      </c>
      <c r="J7" s="156">
        <f t="shared" ref="J7:J36" si="0">I7*(1+E$39)</f>
        <v>74250</v>
      </c>
      <c r="K7" s="136"/>
    </row>
    <row r="8" spans="1:32" ht="15.75" x14ac:dyDescent="0.25">
      <c r="A8" s="131"/>
      <c r="B8" s="154">
        <v>2</v>
      </c>
      <c r="C8" s="200" t="s">
        <v>144</v>
      </c>
      <c r="D8" s="157"/>
      <c r="E8" s="158"/>
      <c r="F8" s="155">
        <f>'DETAILED ESTIMATE'!$M$15</f>
        <v>75000</v>
      </c>
      <c r="G8" s="155">
        <f>'DETAILED ESTIMATE'!$N$15</f>
        <v>0</v>
      </c>
      <c r="H8" s="155">
        <v>0</v>
      </c>
      <c r="I8" s="155">
        <f t="shared" ref="I8:I33" si="1">G8+F8+H8</f>
        <v>75000</v>
      </c>
      <c r="J8" s="156">
        <f t="shared" si="0"/>
        <v>101250</v>
      </c>
      <c r="K8" s="136"/>
    </row>
    <row r="9" spans="1:32" ht="15.75" x14ac:dyDescent="0.25">
      <c r="A9" s="131"/>
      <c r="B9" s="154">
        <v>3</v>
      </c>
      <c r="C9" s="200" t="s">
        <v>145</v>
      </c>
      <c r="D9" s="157"/>
      <c r="E9" s="158"/>
      <c r="F9" s="155">
        <f>'DETAILED ESTIMATE'!$M$20</f>
        <v>2090</v>
      </c>
      <c r="G9" s="155">
        <f>'DETAILED ESTIMATE'!$N$20</f>
        <v>3080</v>
      </c>
      <c r="H9" s="155">
        <v>0</v>
      </c>
      <c r="I9" s="155">
        <f t="shared" si="1"/>
        <v>5170</v>
      </c>
      <c r="J9" s="156">
        <f t="shared" si="0"/>
        <v>6979.5000000000009</v>
      </c>
      <c r="K9" s="136"/>
    </row>
    <row r="10" spans="1:32" ht="15.75" x14ac:dyDescent="0.25">
      <c r="A10" s="131"/>
      <c r="B10" s="154">
        <v>4</v>
      </c>
      <c r="C10" s="200" t="s">
        <v>146</v>
      </c>
      <c r="D10" s="157"/>
      <c r="E10" s="158"/>
      <c r="F10" s="155">
        <f>'DETAILED ESTIMATE'!$M$25</f>
        <v>1311.5666666666668</v>
      </c>
      <c r="G10" s="155">
        <f>'DETAILED ESTIMATE'!$N$25</f>
        <v>1980.7333333333336</v>
      </c>
      <c r="H10" s="155">
        <v>0</v>
      </c>
      <c r="I10" s="155">
        <f t="shared" si="1"/>
        <v>3292.3</v>
      </c>
      <c r="J10" s="156">
        <f t="shared" si="0"/>
        <v>4444.6050000000005</v>
      </c>
      <c r="K10" s="136"/>
    </row>
    <row r="11" spans="1:32" ht="15.75" x14ac:dyDescent="0.25">
      <c r="A11" s="131"/>
      <c r="B11" s="154">
        <v>5</v>
      </c>
      <c r="C11" s="200" t="s">
        <v>147</v>
      </c>
      <c r="D11" s="157"/>
      <c r="E11" s="158"/>
      <c r="F11" s="155">
        <f>'DETAILED ESTIMATE'!$M$30</f>
        <v>1500</v>
      </c>
      <c r="G11" s="155">
        <f>'DETAILED ESTIMATE'!$N$30</f>
        <v>500</v>
      </c>
      <c r="H11" s="155">
        <v>0</v>
      </c>
      <c r="I11" s="155">
        <f t="shared" ref="I11:I29" si="2">G11+F11+H11</f>
        <v>2000</v>
      </c>
      <c r="J11" s="156">
        <f t="shared" si="0"/>
        <v>2700</v>
      </c>
      <c r="K11" s="136"/>
    </row>
    <row r="12" spans="1:32" ht="15.75" x14ac:dyDescent="0.25">
      <c r="A12" s="131"/>
      <c r="B12" s="154">
        <v>6</v>
      </c>
      <c r="C12" s="200" t="s">
        <v>148</v>
      </c>
      <c r="D12" s="157"/>
      <c r="E12" s="158"/>
      <c r="F12" s="195">
        <f>'DETAILED ESTIMATE'!$M$36</f>
        <v>1122</v>
      </c>
      <c r="G12" s="195">
        <f>'DETAILED ESTIMATE'!$N$36</f>
        <v>786.50000000000011</v>
      </c>
      <c r="H12" s="195">
        <v>0</v>
      </c>
      <c r="I12" s="155">
        <f t="shared" si="2"/>
        <v>1908.5</v>
      </c>
      <c r="J12" s="156">
        <f t="shared" si="0"/>
        <v>2576.4750000000004</v>
      </c>
      <c r="K12" s="136"/>
    </row>
    <row r="13" spans="1:32" ht="15.75" x14ac:dyDescent="0.25">
      <c r="A13" s="131"/>
      <c r="B13" s="154">
        <v>7</v>
      </c>
      <c r="C13" s="200" t="s">
        <v>149</v>
      </c>
      <c r="D13" s="157"/>
      <c r="E13" s="158"/>
      <c r="F13" s="195">
        <f>'DETAILED ESTIMATE'!$M$41</f>
        <v>45519.262962962966</v>
      </c>
      <c r="G13" s="195">
        <f>'DETAILED ESTIMATE'!$N$41</f>
        <v>0</v>
      </c>
      <c r="H13" s="195">
        <v>0</v>
      </c>
      <c r="I13" s="155">
        <f t="shared" ref="I13:I24" si="3">G13+F13+H13</f>
        <v>45519.262962962966</v>
      </c>
      <c r="J13" s="156">
        <f t="shared" si="0"/>
        <v>61451.005000000012</v>
      </c>
      <c r="K13" s="136"/>
    </row>
    <row r="14" spans="1:32" ht="15.75" x14ac:dyDescent="0.25">
      <c r="A14" s="131"/>
      <c r="B14" s="154">
        <v>8</v>
      </c>
      <c r="C14" s="200" t="s">
        <v>150</v>
      </c>
      <c r="D14" s="157"/>
      <c r="E14" s="158"/>
      <c r="F14" s="155">
        <f>'DETAILED ESTIMATE'!$M$46</f>
        <v>26487.119999999999</v>
      </c>
      <c r="G14" s="155">
        <f>'DETAILED ESTIMATE'!$N$46</f>
        <v>0</v>
      </c>
      <c r="H14" s="155">
        <v>0</v>
      </c>
      <c r="I14" s="155">
        <f t="shared" si="3"/>
        <v>26487.119999999999</v>
      </c>
      <c r="J14" s="156">
        <f t="shared" si="0"/>
        <v>35757.612000000001</v>
      </c>
      <c r="K14" s="136"/>
    </row>
    <row r="15" spans="1:32" ht="15.75" x14ac:dyDescent="0.25">
      <c r="A15" s="131"/>
      <c r="B15" s="154">
        <v>9</v>
      </c>
      <c r="C15" s="200" t="s">
        <v>151</v>
      </c>
      <c r="D15" s="157"/>
      <c r="E15" s="158"/>
      <c r="F15" s="155">
        <f>'DETAILED ESTIMATE'!$M$51</f>
        <v>24684.000000000004</v>
      </c>
      <c r="G15" s="155">
        <f>'DETAILED ESTIMATE'!$N$51</f>
        <v>0</v>
      </c>
      <c r="H15" s="155">
        <v>0</v>
      </c>
      <c r="I15" s="155">
        <f t="shared" si="3"/>
        <v>24684.000000000004</v>
      </c>
      <c r="J15" s="156">
        <f t="shared" si="0"/>
        <v>33323.400000000009</v>
      </c>
      <c r="K15" s="136"/>
    </row>
    <row r="16" spans="1:32" ht="15.75" x14ac:dyDescent="0.25">
      <c r="A16" s="131"/>
      <c r="B16" s="154">
        <v>10</v>
      </c>
      <c r="C16" s="200" t="s">
        <v>152</v>
      </c>
      <c r="D16" s="157"/>
      <c r="E16" s="158"/>
      <c r="F16" s="155">
        <f>'DETAILED ESTIMATE'!$M$56</f>
        <v>2019.6000000000001</v>
      </c>
      <c r="G16" s="155">
        <f>'DETAILED ESTIMATE'!$N$56</f>
        <v>3029.4000000000005</v>
      </c>
      <c r="H16" s="155">
        <v>0</v>
      </c>
      <c r="I16" s="155">
        <f t="shared" si="3"/>
        <v>5049.0000000000009</v>
      </c>
      <c r="J16" s="156">
        <f t="shared" si="0"/>
        <v>6816.1500000000015</v>
      </c>
      <c r="K16" s="136"/>
    </row>
    <row r="17" spans="1:11" ht="15.75" x14ac:dyDescent="0.25">
      <c r="A17" s="131"/>
      <c r="B17" s="154">
        <v>11</v>
      </c>
      <c r="C17" s="200" t="s">
        <v>153</v>
      </c>
      <c r="D17" s="157"/>
      <c r="E17" s="158"/>
      <c r="F17" s="155">
        <f>'DETAILED ESTIMATE'!$M$61</f>
        <v>17780.705555555556</v>
      </c>
      <c r="G17" s="155">
        <f>'DETAILED ESTIMATE'!$N$61</f>
        <v>34335.155555555561</v>
      </c>
      <c r="H17" s="155">
        <v>0</v>
      </c>
      <c r="I17" s="155">
        <f t="shared" si="3"/>
        <v>52115.861111111117</v>
      </c>
      <c r="J17" s="156">
        <f t="shared" si="0"/>
        <v>70356.412500000006</v>
      </c>
      <c r="K17" s="136"/>
    </row>
    <row r="18" spans="1:11" ht="15.75" x14ac:dyDescent="0.25">
      <c r="A18" s="131"/>
      <c r="B18" s="154">
        <v>12</v>
      </c>
      <c r="C18" s="200" t="s">
        <v>79</v>
      </c>
      <c r="D18" s="157"/>
      <c r="E18" s="158"/>
      <c r="F18" s="155">
        <f>'DETAILED ESTIMATE'!$M$66</f>
        <v>1936</v>
      </c>
      <c r="G18" s="155">
        <f>'DETAILED ESTIMATE'!$N$66</f>
        <v>8800</v>
      </c>
      <c r="H18" s="155">
        <v>0</v>
      </c>
      <c r="I18" s="155">
        <f t="shared" si="3"/>
        <v>10736</v>
      </c>
      <c r="J18" s="156">
        <f t="shared" si="0"/>
        <v>14493.6</v>
      </c>
      <c r="K18" s="136"/>
    </row>
    <row r="19" spans="1:11" ht="15.75" x14ac:dyDescent="0.25">
      <c r="A19" s="131"/>
      <c r="B19" s="154">
        <v>13</v>
      </c>
      <c r="C19" s="200" t="s">
        <v>154</v>
      </c>
      <c r="D19" s="157"/>
      <c r="E19" s="158"/>
      <c r="F19" s="195">
        <f>'DETAILED ESTIMATE'!$M$71</f>
        <v>7235.8</v>
      </c>
      <c r="G19" s="195">
        <f>'DETAILED ESTIMATE'!$N$71</f>
        <v>15267.538</v>
      </c>
      <c r="H19" s="195">
        <v>0</v>
      </c>
      <c r="I19" s="155">
        <f t="shared" si="3"/>
        <v>22503.338</v>
      </c>
      <c r="J19" s="156">
        <f t="shared" si="0"/>
        <v>30379.506300000001</v>
      </c>
      <c r="K19" s="136"/>
    </row>
    <row r="20" spans="1:11" ht="15.75" x14ac:dyDescent="0.25">
      <c r="A20" s="131"/>
      <c r="B20" s="154">
        <v>14</v>
      </c>
      <c r="C20" s="200" t="s">
        <v>155</v>
      </c>
      <c r="D20" s="157"/>
      <c r="E20" s="158"/>
      <c r="F20" s="195">
        <f>'DETAILED ESTIMATE'!$M$79</f>
        <v>76016.216466666665</v>
      </c>
      <c r="G20" s="195">
        <f>'DETAILED ESTIMATE'!$N$79</f>
        <v>108767.70960000002</v>
      </c>
      <c r="H20" s="195">
        <v>0</v>
      </c>
      <c r="I20" s="155">
        <f t="shared" si="3"/>
        <v>184783.92606666667</v>
      </c>
      <c r="J20" s="156">
        <f t="shared" si="0"/>
        <v>249458.30019000001</v>
      </c>
      <c r="K20" s="136"/>
    </row>
    <row r="21" spans="1:11" ht="15.75" x14ac:dyDescent="0.25">
      <c r="A21" s="131"/>
      <c r="B21" s="154">
        <v>15</v>
      </c>
      <c r="C21" s="200" t="s">
        <v>156</v>
      </c>
      <c r="D21" s="157"/>
      <c r="E21" s="158"/>
      <c r="F21" s="155">
        <f>'DETAILED ESTIMATE'!$M$87</f>
        <v>794.42745718518518</v>
      </c>
      <c r="G21" s="155">
        <f>'DETAILED ESTIMATE'!$N$87</f>
        <v>1094.224872888889</v>
      </c>
      <c r="H21" s="155">
        <v>0</v>
      </c>
      <c r="I21" s="155">
        <f t="shared" si="3"/>
        <v>1888.6523300740741</v>
      </c>
      <c r="J21" s="156">
        <f t="shared" si="0"/>
        <v>2549.6806456000004</v>
      </c>
      <c r="K21" s="136"/>
    </row>
    <row r="22" spans="1:11" ht="15.75" x14ac:dyDescent="0.25">
      <c r="A22" s="131"/>
      <c r="B22" s="154">
        <v>16</v>
      </c>
      <c r="C22" s="200" t="s">
        <v>157</v>
      </c>
      <c r="D22" s="157"/>
      <c r="E22" s="158"/>
      <c r="F22" s="155">
        <f>'DETAILED ESTIMATE'!$M$92</f>
        <v>1389.96</v>
      </c>
      <c r="G22" s="155">
        <f>'DETAILED ESTIMATE'!$N$92</f>
        <v>1081.08</v>
      </c>
      <c r="H22" s="155">
        <v>0</v>
      </c>
      <c r="I22" s="155">
        <f t="shared" si="3"/>
        <v>2471.04</v>
      </c>
      <c r="J22" s="156">
        <f t="shared" si="0"/>
        <v>3335.904</v>
      </c>
      <c r="K22" s="136"/>
    </row>
    <row r="23" spans="1:11" ht="15.75" x14ac:dyDescent="0.25">
      <c r="A23" s="131"/>
      <c r="B23" s="154">
        <v>17</v>
      </c>
      <c r="C23" s="200" t="s">
        <v>158</v>
      </c>
      <c r="D23" s="157"/>
      <c r="E23" s="158"/>
      <c r="F23" s="155">
        <f>'DETAILED ESTIMATE'!$M$97</f>
        <v>315</v>
      </c>
      <c r="G23" s="155">
        <f>'DETAILED ESTIMATE'!$N$97</f>
        <v>135</v>
      </c>
      <c r="H23" s="155">
        <v>0</v>
      </c>
      <c r="I23" s="155">
        <f t="shared" si="3"/>
        <v>450</v>
      </c>
      <c r="J23" s="156">
        <f t="shared" si="0"/>
        <v>607.5</v>
      </c>
      <c r="K23" s="136"/>
    </row>
    <row r="24" spans="1:11" ht="15.75" x14ac:dyDescent="0.25">
      <c r="A24" s="131"/>
      <c r="B24" s="154">
        <v>18</v>
      </c>
      <c r="C24" s="200" t="s">
        <v>96</v>
      </c>
      <c r="D24" s="157"/>
      <c r="E24" s="158"/>
      <c r="F24" s="155">
        <f>'DETAILED ESTIMATE'!$M$102</f>
        <v>0</v>
      </c>
      <c r="G24" s="155">
        <f>'DETAILED ESTIMATE'!$N$102</f>
        <v>0</v>
      </c>
      <c r="H24" s="155">
        <v>0</v>
      </c>
      <c r="I24" s="155">
        <f t="shared" si="3"/>
        <v>0</v>
      </c>
      <c r="J24" s="156">
        <f t="shared" si="0"/>
        <v>0</v>
      </c>
      <c r="K24" s="136"/>
    </row>
    <row r="25" spans="1:11" ht="15.75" x14ac:dyDescent="0.25">
      <c r="A25" s="131"/>
      <c r="B25" s="154">
        <v>19</v>
      </c>
      <c r="C25" s="200" t="s">
        <v>159</v>
      </c>
      <c r="D25" s="157"/>
      <c r="E25" s="158"/>
      <c r="F25" s="195">
        <f>'DETAILED ESTIMATE'!$M$107</f>
        <v>0</v>
      </c>
      <c r="G25" s="195">
        <f>'DETAILED ESTIMATE'!$N$107</f>
        <v>0</v>
      </c>
      <c r="H25" s="195">
        <v>0</v>
      </c>
      <c r="I25" s="155">
        <f t="shared" si="2"/>
        <v>0</v>
      </c>
      <c r="J25" s="156">
        <f t="shared" si="0"/>
        <v>0</v>
      </c>
      <c r="K25" s="136"/>
    </row>
    <row r="26" spans="1:11" ht="15.75" x14ac:dyDescent="0.25">
      <c r="A26" s="131"/>
      <c r="B26" s="154">
        <v>20</v>
      </c>
      <c r="C26" s="200" t="s">
        <v>160</v>
      </c>
      <c r="D26" s="157"/>
      <c r="E26" s="158"/>
      <c r="F26" s="155">
        <f>'DETAILED ESTIMATE'!$M$112</f>
        <v>0</v>
      </c>
      <c r="G26" s="155">
        <f>'DETAILED ESTIMATE'!$N$112</f>
        <v>0</v>
      </c>
      <c r="H26" s="155">
        <v>0</v>
      </c>
      <c r="I26" s="155">
        <f t="shared" si="2"/>
        <v>0</v>
      </c>
      <c r="J26" s="156">
        <f t="shared" si="0"/>
        <v>0</v>
      </c>
      <c r="K26" s="136"/>
    </row>
    <row r="27" spans="1:11" ht="15.75" x14ac:dyDescent="0.25">
      <c r="A27" s="131"/>
      <c r="B27" s="154">
        <v>21</v>
      </c>
      <c r="C27" s="200" t="s">
        <v>101</v>
      </c>
      <c r="D27" s="157"/>
      <c r="E27" s="158"/>
      <c r="F27" s="155">
        <f>'DETAILED ESTIMATE'!$M$117</f>
        <v>0</v>
      </c>
      <c r="G27" s="155">
        <f>'DETAILED ESTIMATE'!$N$117</f>
        <v>0</v>
      </c>
      <c r="H27" s="155">
        <v>0</v>
      </c>
      <c r="I27" s="155">
        <f t="shared" si="2"/>
        <v>0</v>
      </c>
      <c r="J27" s="156">
        <f t="shared" si="0"/>
        <v>0</v>
      </c>
      <c r="K27" s="136"/>
    </row>
    <row r="28" spans="1:11" ht="15.75" x14ac:dyDescent="0.25">
      <c r="A28" s="131"/>
      <c r="B28" s="154">
        <v>22</v>
      </c>
      <c r="C28" s="200" t="s">
        <v>161</v>
      </c>
      <c r="D28" s="157"/>
      <c r="E28" s="158"/>
      <c r="F28" s="155">
        <f>'DETAILED ESTIMATE'!$M$125</f>
        <v>6578.76</v>
      </c>
      <c r="G28" s="155">
        <f>'DETAILED ESTIMATE'!$N$125</f>
        <v>0</v>
      </c>
      <c r="H28" s="155">
        <v>0</v>
      </c>
      <c r="I28" s="155">
        <f t="shared" si="2"/>
        <v>6578.76</v>
      </c>
      <c r="J28" s="156">
        <f t="shared" si="0"/>
        <v>8881.3260000000009</v>
      </c>
      <c r="K28" s="136"/>
    </row>
    <row r="29" spans="1:11" ht="15.75" x14ac:dyDescent="0.25">
      <c r="A29" s="131"/>
      <c r="B29" s="154">
        <v>23</v>
      </c>
      <c r="C29" s="200" t="s">
        <v>162</v>
      </c>
      <c r="D29" s="157"/>
      <c r="E29" s="158"/>
      <c r="F29" s="155">
        <f>'DETAILED ESTIMATE'!$M$134</f>
        <v>8351.4651000000013</v>
      </c>
      <c r="G29" s="155">
        <f>'DETAILED ESTIMATE'!$N$134</f>
        <v>214.76290000000006</v>
      </c>
      <c r="H29" s="155">
        <v>0</v>
      </c>
      <c r="I29" s="155">
        <f t="shared" si="2"/>
        <v>8566.228000000001</v>
      </c>
      <c r="J29" s="156">
        <f t="shared" si="0"/>
        <v>11564.407800000003</v>
      </c>
      <c r="K29" s="136"/>
    </row>
    <row r="30" spans="1:11" ht="15.75" x14ac:dyDescent="0.25">
      <c r="A30" s="131"/>
      <c r="B30" s="154">
        <v>24</v>
      </c>
      <c r="C30" s="200" t="s">
        <v>163</v>
      </c>
      <c r="D30" s="157"/>
      <c r="E30" s="158"/>
      <c r="F30" s="155">
        <f>'DETAILED ESTIMATE'!$M$139</f>
        <v>0</v>
      </c>
      <c r="G30" s="155">
        <f>'DETAILED ESTIMATE'!$N$139</f>
        <v>0</v>
      </c>
      <c r="H30" s="155">
        <v>0</v>
      </c>
      <c r="I30" s="155">
        <f t="shared" si="1"/>
        <v>0</v>
      </c>
      <c r="J30" s="156">
        <f t="shared" si="0"/>
        <v>0</v>
      </c>
      <c r="K30" s="136"/>
    </row>
    <row r="31" spans="1:11" ht="15.75" x14ac:dyDescent="0.25">
      <c r="A31" s="131"/>
      <c r="B31" s="154">
        <v>25</v>
      </c>
      <c r="C31" s="200" t="s">
        <v>164</v>
      </c>
      <c r="D31" s="157"/>
      <c r="E31" s="158"/>
      <c r="F31" s="195">
        <f>'DETAILED ESTIMATE'!$M$145</f>
        <v>0</v>
      </c>
      <c r="G31" s="195">
        <f>'DETAILED ESTIMATE'!$N$145</f>
        <v>0</v>
      </c>
      <c r="H31" s="195">
        <v>0</v>
      </c>
      <c r="I31" s="155">
        <f t="shared" si="1"/>
        <v>0</v>
      </c>
      <c r="J31" s="156">
        <f t="shared" si="0"/>
        <v>0</v>
      </c>
      <c r="K31" s="136"/>
    </row>
    <row r="32" spans="1:11" ht="15.75" x14ac:dyDescent="0.25">
      <c r="A32" s="131"/>
      <c r="B32" s="154">
        <v>26</v>
      </c>
      <c r="C32" s="200" t="s">
        <v>165</v>
      </c>
      <c r="D32" s="157"/>
      <c r="E32" s="158"/>
      <c r="F32" s="195">
        <f>'DETAILED ESTIMATE'!$M$150</f>
        <v>0</v>
      </c>
      <c r="G32" s="195">
        <f>'DETAILED ESTIMATE'!$N$150</f>
        <v>0</v>
      </c>
      <c r="H32" s="195">
        <v>0</v>
      </c>
      <c r="I32" s="155">
        <f t="shared" ref="I32" si="4">G32+F32+H32</f>
        <v>0</v>
      </c>
      <c r="J32" s="156">
        <f t="shared" ref="J32" si="5">I32*(1+E$39)</f>
        <v>0</v>
      </c>
      <c r="K32" s="136"/>
    </row>
    <row r="33" spans="1:11" ht="15.75" x14ac:dyDescent="0.25">
      <c r="A33" s="131"/>
      <c r="B33" s="154">
        <v>26</v>
      </c>
      <c r="C33" s="200" t="s">
        <v>179</v>
      </c>
      <c r="D33" s="157"/>
      <c r="E33" s="158"/>
      <c r="F33" s="195">
        <f>'DETAILED ESTIMATE'!$M$155</f>
        <v>0</v>
      </c>
      <c r="G33" s="195">
        <f>'DETAILED ESTIMATE'!$N$155</f>
        <v>0</v>
      </c>
      <c r="H33" s="195">
        <v>0</v>
      </c>
      <c r="I33" s="155">
        <f t="shared" si="1"/>
        <v>0</v>
      </c>
      <c r="J33" s="156">
        <f t="shared" si="0"/>
        <v>0</v>
      </c>
      <c r="K33" s="136"/>
    </row>
    <row r="34" spans="1:11" ht="15.75" x14ac:dyDescent="0.25">
      <c r="A34" s="131"/>
      <c r="B34" s="154">
        <v>27</v>
      </c>
      <c r="C34" s="200" t="s">
        <v>166</v>
      </c>
      <c r="D34" s="157"/>
      <c r="E34" s="158"/>
      <c r="F34" s="155">
        <f>'DETAILED ESTIMATE'!$M$160</f>
        <v>0</v>
      </c>
      <c r="G34" s="155">
        <f>'DETAILED ESTIMATE'!$N$160</f>
        <v>0</v>
      </c>
      <c r="H34" s="155">
        <v>0</v>
      </c>
      <c r="I34" s="155">
        <f t="shared" ref="I34:I36" si="6">G34+F34+H34</f>
        <v>0</v>
      </c>
      <c r="J34" s="156">
        <f t="shared" si="0"/>
        <v>0</v>
      </c>
      <c r="K34" s="136"/>
    </row>
    <row r="35" spans="1:11" ht="15.75" x14ac:dyDescent="0.25">
      <c r="A35" s="131"/>
      <c r="B35" s="154">
        <v>28</v>
      </c>
      <c r="C35" s="200" t="s">
        <v>167</v>
      </c>
      <c r="D35" s="157"/>
      <c r="E35" s="158"/>
      <c r="F35" s="155">
        <f>'DETAILED ESTIMATE'!$M$169</f>
        <v>1000</v>
      </c>
      <c r="G35" s="155">
        <f>'DETAILED ESTIMATE'!$N$169</f>
        <v>450</v>
      </c>
      <c r="H35" s="155">
        <v>0</v>
      </c>
      <c r="I35" s="155">
        <f t="shared" si="6"/>
        <v>1450</v>
      </c>
      <c r="J35" s="156">
        <f t="shared" si="0"/>
        <v>1957.5000000000002</v>
      </c>
      <c r="K35" s="136"/>
    </row>
    <row r="36" spans="1:11" ht="15.75" x14ac:dyDescent="0.25">
      <c r="A36" s="131"/>
      <c r="B36" s="154">
        <v>29</v>
      </c>
      <c r="C36" s="200" t="s">
        <v>168</v>
      </c>
      <c r="D36" s="157"/>
      <c r="E36" s="158"/>
      <c r="F36" s="155">
        <f>'DETAILED ESTIMATE'!$M$174</f>
        <v>0</v>
      </c>
      <c r="G36" s="155">
        <f>'DETAILED ESTIMATE'!$N$174</f>
        <v>0</v>
      </c>
      <c r="H36" s="155">
        <v>0</v>
      </c>
      <c r="I36" s="155">
        <f t="shared" si="6"/>
        <v>0</v>
      </c>
      <c r="J36" s="156">
        <f t="shared" si="0"/>
        <v>0</v>
      </c>
      <c r="K36" s="136"/>
    </row>
    <row r="37" spans="1:11" ht="16.5" thickBot="1" x14ac:dyDescent="0.3">
      <c r="A37" s="131"/>
      <c r="B37" s="159"/>
      <c r="C37" s="160"/>
      <c r="D37" s="161"/>
      <c r="E37" s="162"/>
      <c r="F37" s="163"/>
      <c r="G37" s="163"/>
      <c r="H37" s="163"/>
      <c r="I37" s="163"/>
      <c r="J37" s="164"/>
      <c r="K37" s="136"/>
    </row>
    <row r="38" spans="1:11" ht="16.5" thickBot="1" x14ac:dyDescent="0.3">
      <c r="A38" s="131"/>
      <c r="B38" s="165" t="s">
        <v>38</v>
      </c>
      <c r="C38" s="166"/>
      <c r="D38" s="166" t="s">
        <v>24</v>
      </c>
      <c r="E38" s="166"/>
      <c r="F38" s="167">
        <f>SUM(F7:F37)</f>
        <v>356131.88420903706</v>
      </c>
      <c r="G38" s="167">
        <f>SUM(G7:G37)</f>
        <v>179522.10426177777</v>
      </c>
      <c r="H38" s="167">
        <f>SUM(H7:H37)</f>
        <v>0</v>
      </c>
      <c r="I38" s="167">
        <f>SUM(I7:I37)</f>
        <v>535653.98847081477</v>
      </c>
      <c r="J38" s="168">
        <f>SUM(J7:J37)</f>
        <v>723132.88443560002</v>
      </c>
      <c r="K38" s="136"/>
    </row>
    <row r="39" spans="1:11" ht="16.5" thickBot="1" x14ac:dyDescent="0.3">
      <c r="A39" s="131"/>
      <c r="B39" s="169" t="s">
        <v>39</v>
      </c>
      <c r="C39" s="170"/>
      <c r="D39" s="171"/>
      <c r="E39" s="172">
        <f>'DETAILED ESTIMATE'!P$180</f>
        <v>0.35</v>
      </c>
      <c r="F39" s="171"/>
      <c r="G39" s="171"/>
      <c r="H39" s="173">
        <f>D39*H38</f>
        <v>0</v>
      </c>
      <c r="I39" s="173">
        <f>E39*I38</f>
        <v>187478.89596478516</v>
      </c>
      <c r="J39" s="174"/>
      <c r="K39" s="136"/>
    </row>
    <row r="40" spans="1:11" ht="16.5" thickBot="1" x14ac:dyDescent="0.3">
      <c r="A40" s="131"/>
      <c r="B40" s="169" t="s">
        <v>30</v>
      </c>
      <c r="C40" s="170"/>
      <c r="D40" s="171"/>
      <c r="E40" s="172">
        <f>'DETAILED ESTIMATE'!P$181</f>
        <v>0.1</v>
      </c>
      <c r="F40" s="171"/>
      <c r="G40" s="171"/>
      <c r="H40" s="173">
        <f>E38*D40</f>
        <v>0</v>
      </c>
      <c r="I40" s="173">
        <f>F38*E40</f>
        <v>35613.188420903709</v>
      </c>
      <c r="J40" s="174"/>
      <c r="K40" s="136"/>
    </row>
    <row r="41" spans="1:11" ht="17.25" x14ac:dyDescent="0.25">
      <c r="A41" s="131"/>
      <c r="B41" s="175" t="s">
        <v>31</v>
      </c>
      <c r="C41" s="184"/>
      <c r="D41" s="184"/>
      <c r="E41" s="184"/>
      <c r="F41" s="184"/>
      <c r="G41" s="184"/>
      <c r="H41" s="185">
        <f>SUM(H38:H40)</f>
        <v>0</v>
      </c>
      <c r="I41" s="185">
        <f>SUM(I38:I40)</f>
        <v>758746.07285650366</v>
      </c>
      <c r="J41" s="176"/>
      <c r="K41" s="136"/>
    </row>
    <row r="42" spans="1:11" ht="15.75" thickBot="1" x14ac:dyDescent="0.25">
      <c r="A42" s="177"/>
      <c r="B42" s="178"/>
      <c r="C42" s="178"/>
      <c r="D42" s="179" t="s">
        <v>40</v>
      </c>
      <c r="E42" s="178"/>
      <c r="F42" s="178"/>
      <c r="G42" s="178"/>
      <c r="H42" s="178"/>
      <c r="I42" s="178"/>
      <c r="J42" s="178"/>
      <c r="K42" s="180"/>
    </row>
  </sheetData>
  <pageMargins left="0.70866141732283472" right="0.70866141732283472" top="0.74803149606299213" bottom="0.74803149606299213" header="0.31496062992125984" footer="0.31496062992125984"/>
  <pageSetup scale="58" fitToHeight="0" orientation="portrait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A1:KA190"/>
  <sheetViews>
    <sheetView showGridLines="0" tabSelected="1" view="pageBreakPreview" zoomScale="70" zoomScaleNormal="85" zoomScaleSheetLayoutView="70" workbookViewId="0">
      <pane ySplit="6" topLeftCell="A7" activePane="bottomLeft" state="frozen"/>
      <selection pane="bottomLeft" activeCell="K9" sqref="K9"/>
    </sheetView>
  </sheetViews>
  <sheetFormatPr defaultRowHeight="15.75" x14ac:dyDescent="0.2"/>
  <cols>
    <col min="1" max="1" width="5.33203125" style="41" customWidth="1"/>
    <col min="2" max="2" width="9.33203125" style="37" customWidth="1"/>
    <col min="3" max="3" width="10.21875" style="37" customWidth="1"/>
    <col min="4" max="4" width="8.5546875" style="40" customWidth="1"/>
    <col min="5" max="5" width="51.109375" style="39" customWidth="1"/>
    <col min="6" max="6" width="8.5546875" style="38" customWidth="1"/>
    <col min="7" max="7" width="7.88671875" style="34" customWidth="1"/>
    <col min="8" max="8" width="8.6640625" style="34" customWidth="1"/>
    <col min="9" max="9" width="6.5546875" style="37" customWidth="1"/>
    <col min="10" max="10" width="10.5546875" style="37" customWidth="1"/>
    <col min="11" max="11" width="10.6640625" style="36" customWidth="1"/>
    <col min="12" max="12" width="9.6640625" style="35" customWidth="1"/>
    <col min="13" max="13" width="12.6640625" style="35" bestFit="1" customWidth="1"/>
    <col min="14" max="14" width="11.33203125" style="35" customWidth="1"/>
    <col min="15" max="15" width="11.77734375" style="35" customWidth="1"/>
    <col min="16" max="16" width="10.88671875" style="34" customWidth="1"/>
    <col min="17" max="17" width="11.5546875" style="33" customWidth="1"/>
    <col min="18" max="18" width="12.33203125" style="32" customWidth="1"/>
    <col min="19" max="19" width="6" style="31" hidden="1" customWidth="1"/>
    <col min="20" max="20" width="8.5546875" style="31" customWidth="1"/>
    <col min="21" max="30" width="8.88671875" style="31"/>
  </cols>
  <sheetData>
    <row r="1" spans="1:287" s="98" customFormat="1" ht="19.5" thickBot="1" x14ac:dyDescent="0.25">
      <c r="A1" s="8" t="s">
        <v>28</v>
      </c>
      <c r="B1" s="6"/>
      <c r="C1" s="10" t="s">
        <v>137</v>
      </c>
      <c r="D1" s="102"/>
      <c r="E1" s="105"/>
      <c r="F1" s="104"/>
      <c r="G1" s="103"/>
      <c r="H1" s="102"/>
      <c r="I1" s="103"/>
      <c r="J1" s="102"/>
      <c r="K1" s="102"/>
      <c r="L1" s="102"/>
      <c r="M1" s="102"/>
      <c r="N1" s="102"/>
      <c r="O1" s="102"/>
      <c r="P1" s="102"/>
      <c r="Q1" s="102"/>
      <c r="R1" s="101" t="s">
        <v>235</v>
      </c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/>
      <c r="IF1" s="99"/>
      <c r="IG1" s="99"/>
      <c r="IH1" s="99"/>
      <c r="II1" s="99"/>
      <c r="IJ1" s="99"/>
      <c r="IK1" s="99"/>
      <c r="IL1" s="99"/>
      <c r="IM1" s="99"/>
      <c r="IN1" s="99"/>
      <c r="IO1" s="99"/>
      <c r="IP1" s="99"/>
      <c r="IQ1" s="99"/>
      <c r="IR1" s="99"/>
      <c r="IS1" s="99"/>
      <c r="IT1" s="99"/>
      <c r="IU1" s="99"/>
      <c r="IV1" s="99"/>
      <c r="IW1" s="99"/>
      <c r="IX1" s="99"/>
      <c r="IY1" s="99"/>
      <c r="IZ1" s="99"/>
      <c r="JA1" s="99"/>
      <c r="JB1" s="99"/>
      <c r="JC1" s="99"/>
      <c r="JD1" s="99"/>
      <c r="JE1" s="99"/>
      <c r="JF1" s="99"/>
      <c r="JG1" s="99"/>
      <c r="JH1" s="99"/>
      <c r="JI1" s="99"/>
      <c r="JJ1" s="99"/>
      <c r="JK1" s="99"/>
      <c r="JL1" s="99"/>
      <c r="JM1" s="99"/>
      <c r="JN1" s="99"/>
      <c r="JO1" s="99"/>
      <c r="JP1" s="99"/>
      <c r="JQ1" s="99"/>
      <c r="JR1" s="99"/>
      <c r="JS1" s="99"/>
      <c r="JT1" s="99"/>
      <c r="JU1" s="99"/>
      <c r="JV1" s="99"/>
      <c r="JW1" s="99"/>
      <c r="JX1" s="99"/>
      <c r="JY1" s="99"/>
      <c r="JZ1" s="99"/>
      <c r="KA1" s="99"/>
    </row>
    <row r="2" spans="1:287" x14ac:dyDescent="0.2">
      <c r="A2" s="7" t="s">
        <v>8</v>
      </c>
      <c r="B2" s="9"/>
      <c r="C2" s="11" t="s">
        <v>136</v>
      </c>
      <c r="D2" s="91"/>
      <c r="E2" s="95"/>
      <c r="F2" s="91"/>
      <c r="G2" s="91"/>
      <c r="H2" s="91"/>
      <c r="I2" s="91"/>
      <c r="J2" s="91"/>
      <c r="K2" s="91"/>
      <c r="L2" s="91"/>
      <c r="M2" s="91"/>
      <c r="N2" s="91"/>
      <c r="O2" s="196"/>
      <c r="P2" s="91"/>
      <c r="Q2" s="91"/>
      <c r="R2" s="89"/>
      <c r="S2"/>
      <c r="T2" s="94"/>
      <c r="U2" s="76"/>
      <c r="V2" s="94"/>
      <c r="W2" s="76"/>
      <c r="X2" s="76"/>
      <c r="Y2"/>
      <c r="Z2"/>
      <c r="AA2"/>
    </row>
    <row r="3" spans="1:287" x14ac:dyDescent="0.2">
      <c r="A3" s="1" t="s">
        <v>9</v>
      </c>
      <c r="B3" s="3"/>
      <c r="C3" s="18">
        <v>45029</v>
      </c>
      <c r="D3" s="96"/>
      <c r="E3" s="97"/>
      <c r="F3" s="91"/>
      <c r="G3" s="91"/>
      <c r="H3" s="201"/>
      <c r="I3" s="93" t="s">
        <v>45</v>
      </c>
      <c r="J3" s="127"/>
      <c r="K3" s="202"/>
      <c r="L3" s="188"/>
      <c r="M3" s="91"/>
      <c r="N3" s="91"/>
      <c r="O3" s="196"/>
      <c r="P3" s="91"/>
      <c r="Q3" s="91"/>
      <c r="R3" s="89"/>
      <c r="S3"/>
      <c r="T3" s="94"/>
      <c r="U3" s="76"/>
      <c r="V3" s="76"/>
      <c r="W3" s="76"/>
      <c r="X3" s="76"/>
      <c r="Y3"/>
      <c r="Z3"/>
      <c r="AA3"/>
    </row>
    <row r="4" spans="1:287" ht="16.5" thickBot="1" x14ac:dyDescent="0.25">
      <c r="A4" s="1" t="s">
        <v>21</v>
      </c>
      <c r="B4" s="3"/>
      <c r="C4" s="18">
        <v>45054</v>
      </c>
      <c r="D4" s="96"/>
      <c r="E4" s="93"/>
      <c r="F4" s="91"/>
      <c r="G4" s="91"/>
      <c r="H4" s="203"/>
      <c r="I4" s="93" t="s">
        <v>46</v>
      </c>
      <c r="J4" s="127"/>
      <c r="K4" s="202"/>
      <c r="L4" s="91"/>
      <c r="M4" s="91"/>
      <c r="N4" s="91"/>
      <c r="O4" s="196"/>
      <c r="P4" s="91"/>
      <c r="Q4" s="91"/>
      <c r="R4" s="89"/>
      <c r="S4"/>
      <c r="T4" s="94"/>
      <c r="U4" s="76"/>
      <c r="V4" s="76"/>
      <c r="W4" s="76"/>
      <c r="X4" s="76"/>
      <c r="Y4"/>
      <c r="Z4"/>
      <c r="AA4"/>
    </row>
    <row r="5" spans="1:287" ht="16.5" thickBot="1" x14ac:dyDescent="0.25">
      <c r="A5" s="204" t="s">
        <v>47</v>
      </c>
      <c r="B5" s="92"/>
      <c r="C5" s="108">
        <f>Q$182</f>
        <v>758746.07285650366</v>
      </c>
      <c r="D5" s="90"/>
      <c r="E5" s="90"/>
      <c r="F5" s="90"/>
      <c r="G5" s="91"/>
      <c r="H5" s="227"/>
      <c r="I5" s="93" t="s">
        <v>234</v>
      </c>
      <c r="J5" s="91"/>
      <c r="K5" s="91"/>
      <c r="L5" s="91"/>
      <c r="M5" s="91"/>
      <c r="N5" s="91"/>
      <c r="O5" s="196"/>
      <c r="P5" s="91"/>
      <c r="Q5" s="91"/>
      <c r="R5" s="89"/>
      <c r="S5"/>
      <c r="T5" s="76"/>
      <c r="U5" s="76"/>
      <c r="V5" s="76"/>
      <c r="W5" s="76"/>
      <c r="X5" s="76"/>
      <c r="Y5"/>
      <c r="Z5"/>
      <c r="AA5"/>
    </row>
    <row r="6" spans="1:287" ht="48" thickBot="1" x14ac:dyDescent="0.25">
      <c r="A6" s="107" t="s">
        <v>10</v>
      </c>
      <c r="B6" s="88" t="s">
        <v>4</v>
      </c>
      <c r="C6" s="88" t="s">
        <v>5</v>
      </c>
      <c r="D6" s="87" t="s">
        <v>6</v>
      </c>
      <c r="E6" s="85" t="s">
        <v>1</v>
      </c>
      <c r="F6" s="85" t="s">
        <v>27</v>
      </c>
      <c r="G6" s="85" t="s">
        <v>2</v>
      </c>
      <c r="H6" s="85" t="s">
        <v>3</v>
      </c>
      <c r="I6" s="87" t="s">
        <v>0</v>
      </c>
      <c r="J6" s="87" t="s">
        <v>26</v>
      </c>
      <c r="K6" s="87" t="s">
        <v>12</v>
      </c>
      <c r="L6" s="87" t="s">
        <v>13</v>
      </c>
      <c r="M6" s="86" t="s">
        <v>18</v>
      </c>
      <c r="N6" s="86" t="s">
        <v>19</v>
      </c>
      <c r="O6" s="86" t="s">
        <v>20</v>
      </c>
      <c r="P6" s="85" t="s">
        <v>14</v>
      </c>
      <c r="Q6" s="84" t="s">
        <v>7</v>
      </c>
      <c r="R6" s="83" t="s">
        <v>25</v>
      </c>
      <c r="S6" s="82" t="s">
        <v>15</v>
      </c>
      <c r="T6" s="76"/>
      <c r="U6" s="76"/>
      <c r="V6" s="76"/>
      <c r="W6" s="76"/>
      <c r="X6" s="76"/>
      <c r="Y6"/>
      <c r="Z6"/>
      <c r="AA6"/>
      <c r="AB6"/>
      <c r="AC6"/>
      <c r="AD6"/>
    </row>
    <row r="7" spans="1:287" ht="19.5" thickBot="1" x14ac:dyDescent="0.25">
      <c r="A7" s="54" t="str">
        <f>IF(F7&lt;&gt;"",1+MAX($A$6:A6),"")</f>
        <v/>
      </c>
      <c r="B7" s="198" t="s">
        <v>181</v>
      </c>
      <c r="C7" s="81"/>
      <c r="D7" s="81"/>
      <c r="E7" s="78" t="s">
        <v>49</v>
      </c>
      <c r="F7" s="80"/>
      <c r="G7" s="80"/>
      <c r="H7" s="78"/>
      <c r="I7" s="78"/>
      <c r="J7" s="78"/>
      <c r="K7" s="78"/>
      <c r="L7" s="78"/>
      <c r="M7" s="78"/>
      <c r="N7" s="78"/>
      <c r="O7" s="78"/>
      <c r="P7" s="79"/>
      <c r="Q7" s="78"/>
      <c r="R7" s="77"/>
      <c r="S7" s="77"/>
      <c r="T7" s="76"/>
      <c r="U7" s="76"/>
      <c r="V7" s="76"/>
      <c r="W7" s="76"/>
      <c r="X7" s="76"/>
      <c r="Y7"/>
      <c r="Z7"/>
      <c r="AA7"/>
      <c r="AB7"/>
      <c r="AC7"/>
      <c r="AD7"/>
    </row>
    <row r="8" spans="1:287" s="24" customFormat="1" ht="16.5" customHeight="1" x14ac:dyDescent="0.2">
      <c r="A8" s="54">
        <f>IF(F8&lt;&gt;"",1+MAX($A$6:A7),"")</f>
        <v>1</v>
      </c>
      <c r="B8" s="118"/>
      <c r="C8" s="119"/>
      <c r="D8" s="120"/>
      <c r="E8" s="121" t="s">
        <v>48</v>
      </c>
      <c r="F8" s="120">
        <v>1</v>
      </c>
      <c r="G8" s="22">
        <v>0</v>
      </c>
      <c r="H8" s="67">
        <f>F8*(1+G8)</f>
        <v>1</v>
      </c>
      <c r="I8" s="112" t="s">
        <v>16</v>
      </c>
      <c r="J8" s="230">
        <v>55000</v>
      </c>
      <c r="K8" s="230">
        <v>0</v>
      </c>
      <c r="L8" s="219">
        <v>0</v>
      </c>
      <c r="M8" s="122">
        <f>J8*H8</f>
        <v>55000</v>
      </c>
      <c r="N8" s="123">
        <f>K8*H8</f>
        <v>0</v>
      </c>
      <c r="O8" s="123">
        <f>L8*H8</f>
        <v>0</v>
      </c>
      <c r="P8" s="124">
        <f>J8+K8+L8</f>
        <v>55000</v>
      </c>
      <c r="Q8" s="125">
        <f>P8*H8</f>
        <v>55000</v>
      </c>
      <c r="R8" s="126"/>
    </row>
    <row r="9" spans="1:287" ht="16.5" thickBot="1" x14ac:dyDescent="0.25">
      <c r="A9" s="54" t="str">
        <f>IF(F9&lt;&gt;"",1+MAX($A$6:A8),"")</f>
        <v/>
      </c>
      <c r="B9" s="14"/>
      <c r="C9" s="2"/>
      <c r="D9" s="73"/>
      <c r="E9" s="187"/>
      <c r="F9" s="113"/>
      <c r="G9" s="51"/>
      <c r="H9" s="68"/>
      <c r="I9" s="50"/>
      <c r="J9" s="220"/>
      <c r="K9" s="220"/>
      <c r="L9" s="220"/>
      <c r="M9" s="49"/>
      <c r="N9" s="49"/>
      <c r="O9" s="49"/>
      <c r="P9" s="48"/>
      <c r="Q9" s="75"/>
      <c r="R9" s="47"/>
      <c r="S9" s="12"/>
      <c r="T9"/>
      <c r="U9"/>
      <c r="V9"/>
      <c r="W9"/>
      <c r="X9"/>
      <c r="Y9"/>
      <c r="Z9"/>
      <c r="AA9"/>
      <c r="AB9"/>
      <c r="AC9"/>
      <c r="AD9"/>
    </row>
    <row r="10" spans="1:287" ht="16.5" thickBot="1" x14ac:dyDescent="0.25">
      <c r="A10" s="54" t="str">
        <f>IF(F10&lt;&gt;"",1+MAX($A$6:A9),"")</f>
        <v/>
      </c>
      <c r="B10" s="14"/>
      <c r="C10" s="74"/>
      <c r="D10" s="73"/>
      <c r="E10" s="72" t="s">
        <v>50</v>
      </c>
      <c r="F10" s="64"/>
      <c r="G10" s="71"/>
      <c r="H10" s="64"/>
      <c r="I10" s="19"/>
      <c r="J10" s="221"/>
      <c r="K10" s="221"/>
      <c r="L10" s="221"/>
      <c r="M10" s="15">
        <f>SUM(M8:M9)</f>
        <v>55000</v>
      </c>
      <c r="N10" s="16">
        <f>SUM(N8:N9)</f>
        <v>0</v>
      </c>
      <c r="O10" s="17">
        <f>SUM(O8:O9)</f>
        <v>0</v>
      </c>
      <c r="P10" s="70"/>
      <c r="Q10" s="69"/>
      <c r="R10" s="46">
        <f>SUM(Q8:Q9)</f>
        <v>55000</v>
      </c>
      <c r="S10" s="12"/>
      <c r="T10" s="23">
        <f>M10+N10+O10-R10</f>
        <v>0</v>
      </c>
      <c r="U10"/>
      <c r="V10"/>
      <c r="W10"/>
      <c r="X10"/>
      <c r="Y10"/>
      <c r="Z10"/>
      <c r="AA10"/>
      <c r="AB10"/>
      <c r="AC10"/>
      <c r="AD10"/>
    </row>
    <row r="11" spans="1:287" s="24" customFormat="1" ht="16.5" thickBot="1" x14ac:dyDescent="0.25">
      <c r="A11" s="54" t="str">
        <f>IF(F11&lt;&gt;"",1+MAX($A$6:A10),"")</f>
        <v/>
      </c>
      <c r="B11" s="4"/>
      <c r="C11" s="2"/>
      <c r="D11" s="66"/>
      <c r="E11" s="5"/>
      <c r="F11" s="65"/>
      <c r="G11" s="26"/>
      <c r="H11" s="65"/>
      <c r="I11" s="27"/>
      <c r="J11" s="222"/>
      <c r="K11" s="223"/>
      <c r="L11" s="223"/>
      <c r="M11" s="28"/>
      <c r="N11" s="28"/>
      <c r="O11" s="28"/>
      <c r="P11" s="28"/>
      <c r="Q11" s="30"/>
      <c r="R11" s="29"/>
      <c r="S11" s="12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</row>
    <row r="12" spans="1:287" ht="19.5" thickBot="1" x14ac:dyDescent="0.25">
      <c r="A12" s="54" t="str">
        <f>IF(F12&lt;&gt;"",1+MAX($A$6:A11),"")</f>
        <v/>
      </c>
      <c r="B12" s="198" t="s">
        <v>182</v>
      </c>
      <c r="C12" s="81"/>
      <c r="D12" s="81"/>
      <c r="E12" s="78" t="s">
        <v>42</v>
      </c>
      <c r="F12" s="80"/>
      <c r="G12" s="80"/>
      <c r="H12" s="78"/>
      <c r="I12" s="78"/>
      <c r="J12" s="224"/>
      <c r="K12" s="224"/>
      <c r="L12" s="224"/>
      <c r="M12" s="78"/>
      <c r="N12" s="78"/>
      <c r="O12" s="78"/>
      <c r="P12" s="79"/>
      <c r="Q12" s="78"/>
      <c r="R12" s="77"/>
      <c r="S12" s="77"/>
      <c r="T12" s="76"/>
      <c r="U12" s="76"/>
      <c r="V12" s="76"/>
      <c r="W12" s="76"/>
      <c r="X12" s="76"/>
      <c r="Y12"/>
      <c r="Z12"/>
      <c r="AA12"/>
      <c r="AB12"/>
      <c r="AC12"/>
      <c r="AD12"/>
    </row>
    <row r="13" spans="1:287" s="24" customFormat="1" ht="16.5" customHeight="1" x14ac:dyDescent="0.2">
      <c r="A13" s="54">
        <f>IF(F13&lt;&gt;"",1+MAX($A$6:A12),"")</f>
        <v>2</v>
      </c>
      <c r="B13" s="118"/>
      <c r="C13" s="119"/>
      <c r="D13" s="120"/>
      <c r="E13" s="121" t="s">
        <v>43</v>
      </c>
      <c r="F13" s="120">
        <v>1</v>
      </c>
      <c r="G13" s="22">
        <v>0</v>
      </c>
      <c r="H13" s="67">
        <f>F13*(1+G13)</f>
        <v>1</v>
      </c>
      <c r="I13" s="112" t="s">
        <v>16</v>
      </c>
      <c r="J13" s="230">
        <v>75000</v>
      </c>
      <c r="K13" s="230">
        <v>0</v>
      </c>
      <c r="L13" s="219">
        <v>0</v>
      </c>
      <c r="M13" s="122">
        <f>J13*H13</f>
        <v>75000</v>
      </c>
      <c r="N13" s="123">
        <f>K13*H13</f>
        <v>0</v>
      </c>
      <c r="O13" s="123">
        <f>L13*H13</f>
        <v>0</v>
      </c>
      <c r="P13" s="124">
        <f>J13+K13+L13</f>
        <v>75000</v>
      </c>
      <c r="Q13" s="125">
        <f>P13*H13</f>
        <v>75000</v>
      </c>
      <c r="R13" s="126"/>
    </row>
    <row r="14" spans="1:287" ht="16.5" thickBot="1" x14ac:dyDescent="0.25">
      <c r="A14" s="54" t="str">
        <f>IF(F14&lt;&gt;"",1+MAX($A$6:A13),"")</f>
        <v/>
      </c>
      <c r="B14" s="14"/>
      <c r="C14" s="2"/>
      <c r="D14" s="73"/>
      <c r="E14" s="187"/>
      <c r="F14" s="113"/>
      <c r="G14" s="51"/>
      <c r="H14" s="68"/>
      <c r="I14" s="50"/>
      <c r="J14" s="220"/>
      <c r="K14" s="220"/>
      <c r="L14" s="220"/>
      <c r="M14" s="49"/>
      <c r="N14" s="49"/>
      <c r="O14" s="49"/>
      <c r="P14" s="48"/>
      <c r="Q14" s="75"/>
      <c r="R14" s="47"/>
      <c r="S14" s="12"/>
      <c r="T14"/>
      <c r="U14"/>
      <c r="V14"/>
      <c r="W14"/>
      <c r="X14"/>
      <c r="Y14"/>
      <c r="Z14"/>
      <c r="AA14"/>
      <c r="AB14"/>
      <c r="AC14"/>
      <c r="AD14"/>
    </row>
    <row r="15" spans="1:287" ht="16.5" thickBot="1" x14ac:dyDescent="0.25">
      <c r="A15" s="54" t="str">
        <f>IF(F15&lt;&gt;"",1+MAX($A$6:A14),"")</f>
        <v/>
      </c>
      <c r="B15" s="14"/>
      <c r="C15" s="74"/>
      <c r="D15" s="73"/>
      <c r="E15" s="72" t="s">
        <v>44</v>
      </c>
      <c r="F15" s="64"/>
      <c r="G15" s="71"/>
      <c r="H15" s="64"/>
      <c r="I15" s="19"/>
      <c r="J15" s="221"/>
      <c r="K15" s="221"/>
      <c r="L15" s="221"/>
      <c r="M15" s="15">
        <f>SUM(M13:M14)</f>
        <v>75000</v>
      </c>
      <c r="N15" s="16">
        <f>SUM(N13:N14)</f>
        <v>0</v>
      </c>
      <c r="O15" s="17">
        <f>SUM(O13:O14)</f>
        <v>0</v>
      </c>
      <c r="P15" s="70"/>
      <c r="Q15" s="69"/>
      <c r="R15" s="46">
        <f>SUM(Q13:Q14)</f>
        <v>75000</v>
      </c>
      <c r="S15" s="12"/>
      <c r="T15" s="23">
        <f>M15+N15+O15-R15</f>
        <v>0</v>
      </c>
      <c r="U15"/>
      <c r="V15"/>
      <c r="W15"/>
      <c r="X15"/>
      <c r="Y15"/>
      <c r="Z15"/>
      <c r="AA15"/>
      <c r="AB15"/>
      <c r="AC15"/>
      <c r="AD15"/>
    </row>
    <row r="16" spans="1:287" s="24" customFormat="1" ht="16.5" thickBot="1" x14ac:dyDescent="0.25">
      <c r="A16" s="54" t="str">
        <f>IF(F16&lt;&gt;"",1+MAX($A$6:A15),"")</f>
        <v/>
      </c>
      <c r="B16" s="4"/>
      <c r="C16" s="2"/>
      <c r="D16" s="66"/>
      <c r="E16" s="5"/>
      <c r="F16" s="65"/>
      <c r="G16" s="26"/>
      <c r="H16" s="65"/>
      <c r="I16" s="27"/>
      <c r="J16" s="222"/>
      <c r="K16" s="223"/>
      <c r="L16" s="223"/>
      <c r="M16" s="28"/>
      <c r="N16" s="28"/>
      <c r="O16" s="28"/>
      <c r="P16" s="28"/>
      <c r="Q16" s="30"/>
      <c r="R16" s="29"/>
      <c r="S16" s="12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</row>
    <row r="17" spans="1:78" ht="19.5" thickBot="1" x14ac:dyDescent="0.25">
      <c r="A17" s="54" t="str">
        <f>IF(F17&lt;&gt;"",1+MAX($A$6:A16),"")</f>
        <v/>
      </c>
      <c r="B17" s="198" t="s">
        <v>183</v>
      </c>
      <c r="C17" s="81"/>
      <c r="D17" s="81"/>
      <c r="E17" s="78" t="s">
        <v>51</v>
      </c>
      <c r="F17" s="80"/>
      <c r="G17" s="80"/>
      <c r="H17" s="78"/>
      <c r="I17" s="78"/>
      <c r="J17" s="224"/>
      <c r="K17" s="224"/>
      <c r="L17" s="224"/>
      <c r="M17" s="78"/>
      <c r="N17" s="78"/>
      <c r="O17" s="78"/>
      <c r="P17" s="79"/>
      <c r="Q17" s="78"/>
      <c r="R17" s="77"/>
      <c r="S17" s="77"/>
      <c r="T17" s="76"/>
      <c r="U17" s="76"/>
      <c r="V17" s="76"/>
      <c r="W17" s="76"/>
      <c r="X17" s="76"/>
      <c r="Y17"/>
      <c r="Z17"/>
      <c r="AA17"/>
      <c r="AB17"/>
      <c r="AC17"/>
      <c r="AD17"/>
    </row>
    <row r="18" spans="1:78" ht="47.25" x14ac:dyDescent="0.2">
      <c r="A18" s="54">
        <f>IF(F18&lt;&gt;"",1+MAX($A$6:A17),"")</f>
        <v>3</v>
      </c>
      <c r="B18" s="2" t="s">
        <v>54</v>
      </c>
      <c r="C18" s="74" t="s">
        <v>53</v>
      </c>
      <c r="D18" s="197"/>
      <c r="E18" s="205" t="s">
        <v>52</v>
      </c>
      <c r="F18" s="120">
        <v>500</v>
      </c>
      <c r="G18" s="22">
        <v>0.1</v>
      </c>
      <c r="H18" s="67">
        <f>F18*(1+G18)</f>
        <v>550</v>
      </c>
      <c r="I18" s="112" t="s">
        <v>23</v>
      </c>
      <c r="J18" s="218">
        <v>3.8</v>
      </c>
      <c r="K18" s="218">
        <v>5.6</v>
      </c>
      <c r="L18" s="219">
        <v>0</v>
      </c>
      <c r="M18" s="123">
        <f>(J18*H18)</f>
        <v>2090</v>
      </c>
      <c r="N18" s="123">
        <f>K18*H18</f>
        <v>3080</v>
      </c>
      <c r="O18" s="123">
        <f>L18*H18</f>
        <v>0</v>
      </c>
      <c r="P18" s="124">
        <f>(L18+K18+J18)</f>
        <v>9.3999999999999986</v>
      </c>
      <c r="Q18" s="125">
        <f>P18*H18</f>
        <v>5169.9999999999991</v>
      </c>
      <c r="R18" s="47"/>
      <c r="S18" s="12">
        <f>H18*K18</f>
        <v>3080</v>
      </c>
      <c r="T18"/>
      <c r="U18"/>
      <c r="V18"/>
      <c r="W18"/>
      <c r="X18"/>
      <c r="Y18"/>
      <c r="Z18"/>
      <c r="AA18"/>
      <c r="AB18"/>
      <c r="AC18"/>
      <c r="AD18"/>
    </row>
    <row r="19" spans="1:78" ht="16.5" thickBot="1" x14ac:dyDescent="0.25">
      <c r="A19" s="54" t="str">
        <f>IF(F19&lt;&gt;"",1+MAX($A$6:A18),"")</f>
        <v/>
      </c>
      <c r="B19" s="14"/>
      <c r="C19" s="2"/>
      <c r="D19" s="73"/>
      <c r="E19" s="187"/>
      <c r="F19" s="113"/>
      <c r="G19" s="51"/>
      <c r="H19" s="68"/>
      <c r="I19" s="50"/>
      <c r="J19" s="220"/>
      <c r="K19" s="220"/>
      <c r="L19" s="220"/>
      <c r="M19" s="49"/>
      <c r="N19" s="49"/>
      <c r="O19" s="49"/>
      <c r="P19" s="48"/>
      <c r="Q19" s="75"/>
      <c r="R19" s="47"/>
      <c r="S19" s="12"/>
      <c r="T19"/>
      <c r="U19"/>
      <c r="V19"/>
      <c r="W19"/>
      <c r="X19"/>
      <c r="Y19"/>
      <c r="Z19"/>
      <c r="AA19"/>
      <c r="AB19"/>
      <c r="AC19"/>
      <c r="AD19"/>
    </row>
    <row r="20" spans="1:78" ht="16.5" thickBot="1" x14ac:dyDescent="0.25">
      <c r="A20" s="54" t="str">
        <f>IF(F20&lt;&gt;"",1+MAX($A$6:A19),"")</f>
        <v/>
      </c>
      <c r="B20" s="14"/>
      <c r="C20" s="74"/>
      <c r="D20" s="73"/>
      <c r="E20" s="72" t="s">
        <v>55</v>
      </c>
      <c r="F20" s="64"/>
      <c r="G20" s="71"/>
      <c r="H20" s="64"/>
      <c r="I20" s="19"/>
      <c r="J20" s="221"/>
      <c r="K20" s="221"/>
      <c r="L20" s="221"/>
      <c r="M20" s="15">
        <f>SUM(M18:M19)</f>
        <v>2090</v>
      </c>
      <c r="N20" s="16">
        <f>SUM(N18:N19)</f>
        <v>3080</v>
      </c>
      <c r="O20" s="17">
        <f>SUM(O18:O19)</f>
        <v>0</v>
      </c>
      <c r="P20" s="70"/>
      <c r="Q20" s="69"/>
      <c r="R20" s="46">
        <f>SUM(Q18:Q19)</f>
        <v>5169.9999999999991</v>
      </c>
      <c r="S20" s="12"/>
      <c r="T20" s="23">
        <f>M20+N20+O20-R20</f>
        <v>0</v>
      </c>
      <c r="U20"/>
      <c r="V20"/>
      <c r="W20"/>
      <c r="X20"/>
      <c r="Y20"/>
      <c r="Z20"/>
      <c r="AA20"/>
      <c r="AB20"/>
      <c r="AC20"/>
      <c r="AD20"/>
    </row>
    <row r="21" spans="1:78" s="24" customFormat="1" ht="16.5" thickBot="1" x14ac:dyDescent="0.25">
      <c r="A21" s="54" t="str">
        <f>IF(F21&lt;&gt;"",1+MAX($A$6:A20),"")</f>
        <v/>
      </c>
      <c r="B21" s="4"/>
      <c r="C21" s="2"/>
      <c r="D21" s="66"/>
      <c r="E21" s="5"/>
      <c r="F21" s="65"/>
      <c r="G21" s="26"/>
      <c r="H21" s="65"/>
      <c r="I21" s="27"/>
      <c r="J21" s="222"/>
      <c r="K21" s="223"/>
      <c r="L21" s="223"/>
      <c r="M21" s="28"/>
      <c r="N21" s="28"/>
      <c r="O21" s="28"/>
      <c r="P21" s="28"/>
      <c r="Q21" s="30"/>
      <c r="R21" s="29"/>
      <c r="S21" s="12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</row>
    <row r="22" spans="1:78" ht="19.5" thickBot="1" x14ac:dyDescent="0.25">
      <c r="A22" s="54" t="str">
        <f>IF(F22&lt;&gt;"",1+MAX($A$6:A21),"")</f>
        <v/>
      </c>
      <c r="B22" s="198" t="s">
        <v>184</v>
      </c>
      <c r="C22" s="81"/>
      <c r="D22" s="81"/>
      <c r="E22" s="78" t="s">
        <v>56</v>
      </c>
      <c r="F22" s="80"/>
      <c r="G22" s="80"/>
      <c r="H22" s="78"/>
      <c r="I22" s="78"/>
      <c r="J22" s="224"/>
      <c r="K22" s="224"/>
      <c r="L22" s="224"/>
      <c r="M22" s="78"/>
      <c r="N22" s="78"/>
      <c r="O22" s="78"/>
      <c r="P22" s="79"/>
      <c r="Q22" s="78"/>
      <c r="R22" s="77"/>
      <c r="S22" s="77"/>
      <c r="T22" s="76"/>
      <c r="U22" s="76"/>
      <c r="V22" s="76"/>
      <c r="W22" s="76"/>
      <c r="X22" s="76"/>
      <c r="Y22"/>
      <c r="Z22"/>
      <c r="AA22"/>
      <c r="AB22"/>
      <c r="AC22"/>
      <c r="AD22"/>
    </row>
    <row r="23" spans="1:78" ht="47.25" x14ac:dyDescent="0.2">
      <c r="A23" s="54">
        <f>IF(F23&lt;&gt;"",1+MAX($A$6:A22),"")</f>
        <v>4</v>
      </c>
      <c r="B23" s="2" t="s">
        <v>54</v>
      </c>
      <c r="C23" s="74" t="s">
        <v>53</v>
      </c>
      <c r="D23" s="197">
        <f>876*0.5/27</f>
        <v>16.222222222222221</v>
      </c>
      <c r="E23" s="205" t="s">
        <v>173</v>
      </c>
      <c r="F23" s="120">
        <f>876/9</f>
        <v>97.333333333333329</v>
      </c>
      <c r="G23" s="22">
        <v>0.1</v>
      </c>
      <c r="H23" s="67">
        <f>F23*(1+G23)</f>
        <v>107.06666666666668</v>
      </c>
      <c r="I23" s="112" t="s">
        <v>81</v>
      </c>
      <c r="J23" s="218">
        <v>12.25</v>
      </c>
      <c r="K23" s="218">
        <v>18.5</v>
      </c>
      <c r="L23" s="219">
        <v>0</v>
      </c>
      <c r="M23" s="123">
        <f>(J23*H23)</f>
        <v>1311.5666666666668</v>
      </c>
      <c r="N23" s="123">
        <f>K23*H23</f>
        <v>1980.7333333333336</v>
      </c>
      <c r="O23" s="123">
        <f>L23*H23</f>
        <v>0</v>
      </c>
      <c r="P23" s="124">
        <f>(L23+K23+J23)</f>
        <v>30.75</v>
      </c>
      <c r="Q23" s="125">
        <f>P23*H23</f>
        <v>3292.3</v>
      </c>
      <c r="R23" s="47"/>
      <c r="S23" s="12">
        <f>H23*K23</f>
        <v>1980.7333333333336</v>
      </c>
      <c r="T23"/>
      <c r="U23"/>
      <c r="V23"/>
      <c r="W23"/>
      <c r="X23"/>
      <c r="Y23"/>
      <c r="Z23"/>
      <c r="AA23"/>
      <c r="AB23"/>
      <c r="AC23"/>
      <c r="AD23"/>
    </row>
    <row r="24" spans="1:78" ht="16.5" thickBot="1" x14ac:dyDescent="0.25">
      <c r="A24" s="54" t="str">
        <f>IF(F24&lt;&gt;"",1+MAX($A$6:A23),"")</f>
        <v/>
      </c>
      <c r="B24" s="14"/>
      <c r="C24" s="2"/>
      <c r="D24" s="73"/>
      <c r="E24" s="187"/>
      <c r="F24" s="113"/>
      <c r="G24" s="51"/>
      <c r="H24" s="68"/>
      <c r="I24" s="50"/>
      <c r="J24" s="220"/>
      <c r="K24" s="220"/>
      <c r="L24" s="220"/>
      <c r="M24" s="49"/>
      <c r="N24" s="49"/>
      <c r="O24" s="49"/>
      <c r="P24" s="48"/>
      <c r="Q24" s="75"/>
      <c r="R24" s="47"/>
      <c r="S24" s="12"/>
      <c r="T24"/>
      <c r="U24"/>
      <c r="V24"/>
      <c r="W24"/>
      <c r="X24"/>
      <c r="Y24"/>
      <c r="Z24"/>
      <c r="AA24"/>
      <c r="AB24"/>
      <c r="AC24"/>
      <c r="AD24"/>
    </row>
    <row r="25" spans="1:78" ht="16.5" thickBot="1" x14ac:dyDescent="0.25">
      <c r="A25" s="54" t="str">
        <f>IF(F25&lt;&gt;"",1+MAX($A$6:A24),"")</f>
        <v/>
      </c>
      <c r="B25" s="14"/>
      <c r="C25" s="74"/>
      <c r="D25" s="73"/>
      <c r="E25" s="72" t="s">
        <v>57</v>
      </c>
      <c r="F25" s="64"/>
      <c r="G25" s="71"/>
      <c r="H25" s="64"/>
      <c r="I25" s="19"/>
      <c r="J25" s="221"/>
      <c r="K25" s="221"/>
      <c r="L25" s="221"/>
      <c r="M25" s="15">
        <f>SUM(M23:M24)</f>
        <v>1311.5666666666668</v>
      </c>
      <c r="N25" s="16">
        <f>SUM(N23:N24)</f>
        <v>1980.7333333333336</v>
      </c>
      <c r="O25" s="17">
        <f>SUM(O23:O24)</f>
        <v>0</v>
      </c>
      <c r="P25" s="70"/>
      <c r="Q25" s="69"/>
      <c r="R25" s="46">
        <f>SUM(Q23:Q24)</f>
        <v>3292.3</v>
      </c>
      <c r="S25" s="12"/>
      <c r="T25" s="23">
        <f>M25+N25+O25-R25</f>
        <v>0</v>
      </c>
      <c r="U25"/>
      <c r="V25"/>
      <c r="W25"/>
      <c r="X25"/>
      <c r="Y25"/>
      <c r="Z25"/>
      <c r="AA25"/>
      <c r="AB25"/>
      <c r="AC25"/>
      <c r="AD25"/>
    </row>
    <row r="26" spans="1:78" s="24" customFormat="1" ht="16.5" thickBot="1" x14ac:dyDescent="0.25">
      <c r="A26" s="54" t="str">
        <f>IF(F26&lt;&gt;"",1+MAX($A$6:A25),"")</f>
        <v/>
      </c>
      <c r="B26" s="4"/>
      <c r="C26" s="2"/>
      <c r="D26" s="66"/>
      <c r="E26" s="5"/>
      <c r="F26" s="65"/>
      <c r="G26" s="26"/>
      <c r="H26" s="65"/>
      <c r="I26" s="27"/>
      <c r="J26" s="222"/>
      <c r="K26" s="223"/>
      <c r="L26" s="223"/>
      <c r="M26" s="28"/>
      <c r="N26" s="28"/>
      <c r="O26" s="28"/>
      <c r="P26" s="28"/>
      <c r="Q26" s="30"/>
      <c r="R26" s="29"/>
      <c r="S26" s="12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</row>
    <row r="27" spans="1:78" ht="19.5" thickBot="1" x14ac:dyDescent="0.25">
      <c r="A27" s="54" t="str">
        <f>IF(F27&lt;&gt;"",1+MAX($A$6:A26),"")</f>
        <v/>
      </c>
      <c r="B27" s="198" t="s">
        <v>185</v>
      </c>
      <c r="C27" s="81"/>
      <c r="D27" s="81"/>
      <c r="E27" s="78" t="s">
        <v>58</v>
      </c>
      <c r="F27" s="80"/>
      <c r="G27" s="80"/>
      <c r="H27" s="78"/>
      <c r="I27" s="78"/>
      <c r="J27" s="224"/>
      <c r="K27" s="224"/>
      <c r="L27" s="224"/>
      <c r="M27" s="78"/>
      <c r="N27" s="78"/>
      <c r="O27" s="78"/>
      <c r="P27" s="79"/>
      <c r="Q27" s="78"/>
      <c r="R27" s="77"/>
      <c r="S27" s="77"/>
      <c r="T27" s="76"/>
      <c r="U27" s="76"/>
      <c r="V27" s="76"/>
      <c r="W27" s="76"/>
      <c r="X27" s="76"/>
      <c r="Y27"/>
      <c r="Z27"/>
      <c r="AA27"/>
      <c r="AB27"/>
      <c r="AC27"/>
      <c r="AD27"/>
    </row>
    <row r="28" spans="1:78" x14ac:dyDescent="0.2">
      <c r="A28" s="54">
        <f>IF(F28&lt;&gt;"",1+MAX($A$6:A27),"")</f>
        <v>5</v>
      </c>
      <c r="B28" s="2" t="s">
        <v>54</v>
      </c>
      <c r="C28" s="74" t="s">
        <v>53</v>
      </c>
      <c r="D28" s="197"/>
      <c r="E28" s="199" t="s">
        <v>147</v>
      </c>
      <c r="F28" s="120">
        <v>1</v>
      </c>
      <c r="G28" s="22">
        <v>0</v>
      </c>
      <c r="H28" s="67">
        <f>F28*(1+G28)</f>
        <v>1</v>
      </c>
      <c r="I28" s="112" t="s">
        <v>22</v>
      </c>
      <c r="J28" s="230">
        <v>1500</v>
      </c>
      <c r="K28" s="230">
        <v>500</v>
      </c>
      <c r="L28" s="219">
        <v>0</v>
      </c>
      <c r="M28" s="123">
        <f>(J28*H28)</f>
        <v>1500</v>
      </c>
      <c r="N28" s="123">
        <f>K28*H28</f>
        <v>500</v>
      </c>
      <c r="O28" s="123">
        <f>L28*H28</f>
        <v>0</v>
      </c>
      <c r="P28" s="124">
        <f>(L28+K28+J28)</f>
        <v>2000</v>
      </c>
      <c r="Q28" s="125">
        <f>P28*H28</f>
        <v>2000</v>
      </c>
      <c r="R28" s="47"/>
      <c r="S28" s="12">
        <f>H28*K28</f>
        <v>500</v>
      </c>
      <c r="T28"/>
      <c r="U28"/>
      <c r="V28"/>
      <c r="W28"/>
      <c r="X28"/>
      <c r="Y28"/>
      <c r="Z28"/>
      <c r="AA28"/>
      <c r="AB28"/>
      <c r="AC28"/>
      <c r="AD28"/>
    </row>
    <row r="29" spans="1:78" ht="16.5" thickBot="1" x14ac:dyDescent="0.25">
      <c r="A29" s="54" t="str">
        <f>IF(F29&lt;&gt;"",1+MAX($A$6:A28),"")</f>
        <v/>
      </c>
      <c r="B29" s="14"/>
      <c r="C29" s="2"/>
      <c r="D29" s="73"/>
      <c r="E29" s="187"/>
      <c r="F29" s="113"/>
      <c r="G29" s="51"/>
      <c r="H29" s="68"/>
      <c r="I29" s="50"/>
      <c r="J29" s="220"/>
      <c r="K29" s="220"/>
      <c r="L29" s="220"/>
      <c r="M29" s="49"/>
      <c r="N29" s="49"/>
      <c r="O29" s="49"/>
      <c r="P29" s="48"/>
      <c r="Q29" s="75"/>
      <c r="R29" s="47"/>
      <c r="S29" s="12"/>
      <c r="T29"/>
      <c r="U29"/>
      <c r="V29"/>
      <c r="W29"/>
      <c r="X29"/>
      <c r="Y29"/>
      <c r="Z29"/>
      <c r="AA29"/>
      <c r="AB29"/>
      <c r="AC29"/>
      <c r="AD29"/>
    </row>
    <row r="30" spans="1:78" ht="16.5" thickBot="1" x14ac:dyDescent="0.25">
      <c r="A30" s="54" t="str">
        <f>IF(F30&lt;&gt;"",1+MAX($A$6:A29),"")</f>
        <v/>
      </c>
      <c r="B30" s="14"/>
      <c r="C30" s="74"/>
      <c r="D30" s="73"/>
      <c r="E30" s="72" t="s">
        <v>59</v>
      </c>
      <c r="F30" s="64"/>
      <c r="G30" s="71"/>
      <c r="H30" s="64"/>
      <c r="I30" s="19"/>
      <c r="J30" s="221"/>
      <c r="K30" s="221"/>
      <c r="L30" s="221"/>
      <c r="M30" s="15">
        <f>SUM(M28:M29)</f>
        <v>1500</v>
      </c>
      <c r="N30" s="16">
        <f>SUM(N28:N29)</f>
        <v>500</v>
      </c>
      <c r="O30" s="17">
        <f>SUM(O28:O29)</f>
        <v>0</v>
      </c>
      <c r="P30" s="70"/>
      <c r="Q30" s="69"/>
      <c r="R30" s="46">
        <f>SUM(Q28:Q29)</f>
        <v>2000</v>
      </c>
      <c r="S30" s="12"/>
      <c r="T30" s="23">
        <f>M30+N30+O30-R30</f>
        <v>0</v>
      </c>
      <c r="U30"/>
      <c r="V30"/>
      <c r="W30"/>
      <c r="X30"/>
      <c r="Y30"/>
      <c r="Z30"/>
      <c r="AA30"/>
      <c r="AB30"/>
      <c r="AC30"/>
      <c r="AD30"/>
    </row>
    <row r="31" spans="1:78" s="24" customFormat="1" ht="16.5" thickBot="1" x14ac:dyDescent="0.25">
      <c r="A31" s="54" t="str">
        <f>IF(F31&lt;&gt;"",1+MAX($A$6:A30),"")</f>
        <v/>
      </c>
      <c r="B31" s="4"/>
      <c r="C31" s="2"/>
      <c r="D31" s="66"/>
      <c r="E31" s="5"/>
      <c r="F31" s="65"/>
      <c r="G31" s="26"/>
      <c r="H31" s="65"/>
      <c r="I31" s="27"/>
      <c r="J31" s="222"/>
      <c r="K31" s="223"/>
      <c r="L31" s="223"/>
      <c r="M31" s="28"/>
      <c r="N31" s="28"/>
      <c r="O31" s="28"/>
      <c r="P31" s="28"/>
      <c r="Q31" s="30"/>
      <c r="R31" s="29"/>
      <c r="S31" s="12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</row>
    <row r="32" spans="1:78" ht="19.5" thickBot="1" x14ac:dyDescent="0.25">
      <c r="A32" s="54" t="str">
        <f>IF(F32&lt;&gt;"",1+MAX($A$6:A31),"")</f>
        <v/>
      </c>
      <c r="B32" s="198" t="s">
        <v>186</v>
      </c>
      <c r="C32" s="81"/>
      <c r="D32" s="81"/>
      <c r="E32" s="78" t="s">
        <v>60</v>
      </c>
      <c r="F32" s="80"/>
      <c r="G32" s="80"/>
      <c r="H32" s="78"/>
      <c r="I32" s="78"/>
      <c r="J32" s="224"/>
      <c r="K32" s="224"/>
      <c r="L32" s="224"/>
      <c r="M32" s="78"/>
      <c r="N32" s="78"/>
      <c r="O32" s="78"/>
      <c r="P32" s="79"/>
      <c r="Q32" s="78"/>
      <c r="R32" s="77"/>
      <c r="S32" s="77"/>
      <c r="T32" s="76"/>
      <c r="U32" s="76"/>
      <c r="V32" s="76"/>
      <c r="W32" s="76"/>
      <c r="X32" s="76"/>
      <c r="Y32"/>
      <c r="Z32"/>
      <c r="AA32"/>
      <c r="AB32"/>
      <c r="AC32"/>
      <c r="AD32"/>
    </row>
    <row r="33" spans="1:78" ht="31.5" x14ac:dyDescent="0.2">
      <c r="A33" s="54">
        <f>IF(F33&lt;&gt;"",1+MAX($A$6:A32),"")</f>
        <v>6</v>
      </c>
      <c r="B33" s="206" t="s">
        <v>54</v>
      </c>
      <c r="C33" s="206" t="s">
        <v>62</v>
      </c>
      <c r="D33" s="197"/>
      <c r="E33" s="199" t="s">
        <v>174</v>
      </c>
      <c r="F33" s="120">
        <v>325</v>
      </c>
      <c r="G33" s="22">
        <v>0.1</v>
      </c>
      <c r="H33" s="67">
        <f>F33*(1+G33)</f>
        <v>357.50000000000006</v>
      </c>
      <c r="I33" s="112" t="s">
        <v>23</v>
      </c>
      <c r="J33" s="218">
        <v>1.8</v>
      </c>
      <c r="K33" s="218">
        <v>1.6</v>
      </c>
      <c r="L33" s="219">
        <v>0</v>
      </c>
      <c r="M33" s="123">
        <f>(J33*H33)</f>
        <v>643.50000000000011</v>
      </c>
      <c r="N33" s="123">
        <f>K33*H33</f>
        <v>572.00000000000011</v>
      </c>
      <c r="O33" s="123">
        <f>L33*H33</f>
        <v>0</v>
      </c>
      <c r="P33" s="124">
        <f>(L33+K33+J33)</f>
        <v>3.4000000000000004</v>
      </c>
      <c r="Q33" s="125">
        <f>P33*H33</f>
        <v>1215.5000000000002</v>
      </c>
      <c r="R33" s="47"/>
      <c r="S33" s="12">
        <f>H33*K33</f>
        <v>572.00000000000011</v>
      </c>
      <c r="T33"/>
      <c r="U33"/>
      <c r="V33"/>
      <c r="W33"/>
      <c r="X33"/>
      <c r="Y33"/>
      <c r="Z33"/>
      <c r="AA33"/>
      <c r="AB33"/>
      <c r="AC33"/>
      <c r="AD33"/>
    </row>
    <row r="34" spans="1:78" ht="47.25" x14ac:dyDescent="0.2">
      <c r="A34" s="54">
        <f>IF(F34&lt;&gt;"",1+MAX($A$6:A33),"")</f>
        <v>7</v>
      </c>
      <c r="B34" s="206" t="s">
        <v>54</v>
      </c>
      <c r="C34" s="206" t="s">
        <v>62</v>
      </c>
      <c r="D34" s="228"/>
      <c r="E34" s="199" t="s">
        <v>175</v>
      </c>
      <c r="F34" s="120">
        <v>75</v>
      </c>
      <c r="G34" s="22">
        <v>0.1</v>
      </c>
      <c r="H34" s="67">
        <f>F34*(1+G34)</f>
        <v>82.5</v>
      </c>
      <c r="I34" s="112" t="s">
        <v>23</v>
      </c>
      <c r="J34" s="218">
        <v>5.8</v>
      </c>
      <c r="K34" s="218">
        <v>2.6</v>
      </c>
      <c r="L34" s="219">
        <v>0</v>
      </c>
      <c r="M34" s="123">
        <f>(J34*H34)</f>
        <v>478.5</v>
      </c>
      <c r="N34" s="123">
        <f>K34*H34</f>
        <v>214.5</v>
      </c>
      <c r="O34" s="123">
        <f>L34*H34</f>
        <v>0</v>
      </c>
      <c r="P34" s="124">
        <f>(L34+K34+J34)</f>
        <v>8.4</v>
      </c>
      <c r="Q34" s="125">
        <f>P34*H34</f>
        <v>693</v>
      </c>
      <c r="R34" s="47"/>
      <c r="S34" s="12">
        <f>H34*K34</f>
        <v>214.5</v>
      </c>
      <c r="T34"/>
      <c r="U34"/>
      <c r="V34"/>
      <c r="W34"/>
      <c r="X34"/>
      <c r="Y34"/>
      <c r="Z34"/>
      <c r="AA34"/>
      <c r="AB34"/>
      <c r="AC34"/>
      <c r="AD34"/>
    </row>
    <row r="35" spans="1:78" ht="16.5" thickBot="1" x14ac:dyDescent="0.25">
      <c r="A35" s="54" t="str">
        <f>IF(F35&lt;&gt;"",1+MAX($A$6:A34),"")</f>
        <v/>
      </c>
      <c r="B35" s="14"/>
      <c r="C35" s="2"/>
      <c r="D35" s="73"/>
      <c r="E35" s="187"/>
      <c r="F35" s="113"/>
      <c r="G35" s="51"/>
      <c r="H35" s="68"/>
      <c r="I35" s="50"/>
      <c r="J35" s="220"/>
      <c r="K35" s="220"/>
      <c r="L35" s="220"/>
      <c r="M35" s="49"/>
      <c r="N35" s="49"/>
      <c r="O35" s="49"/>
      <c r="P35" s="48"/>
      <c r="Q35" s="75"/>
      <c r="R35" s="47"/>
      <c r="S35" s="12"/>
      <c r="T35"/>
      <c r="U35"/>
      <c r="V35"/>
      <c r="W35"/>
      <c r="X35"/>
      <c r="Y35"/>
      <c r="Z35"/>
      <c r="AA35"/>
      <c r="AB35"/>
      <c r="AC35"/>
      <c r="AD35"/>
    </row>
    <row r="36" spans="1:78" ht="16.5" thickBot="1" x14ac:dyDescent="0.25">
      <c r="A36" s="54" t="str">
        <f>IF(F36&lt;&gt;"",1+MAX($A$6:A35),"")</f>
        <v/>
      </c>
      <c r="B36" s="14"/>
      <c r="C36" s="74"/>
      <c r="D36" s="73"/>
      <c r="E36" s="72" t="s">
        <v>61</v>
      </c>
      <c r="F36" s="64"/>
      <c r="G36" s="71"/>
      <c r="H36" s="64"/>
      <c r="I36" s="19"/>
      <c r="J36" s="221"/>
      <c r="K36" s="221"/>
      <c r="L36" s="221"/>
      <c r="M36" s="15">
        <f>SUM(M33:M35)</f>
        <v>1122</v>
      </c>
      <c r="N36" s="15">
        <f t="shared" ref="N36:O36" si="0">SUM(N33:N35)</f>
        <v>786.50000000000011</v>
      </c>
      <c r="O36" s="15">
        <f t="shared" si="0"/>
        <v>0</v>
      </c>
      <c r="P36" s="70"/>
      <c r="Q36" s="69"/>
      <c r="R36" s="46">
        <f>SUM(Q33:Q35)</f>
        <v>1908.5000000000002</v>
      </c>
      <c r="S36" s="12"/>
      <c r="T36" s="23">
        <f>M36+N36+O36-R36</f>
        <v>0</v>
      </c>
      <c r="U36"/>
      <c r="V36"/>
      <c r="W36"/>
      <c r="X36"/>
      <c r="Y36"/>
      <c r="Z36"/>
      <c r="AA36"/>
      <c r="AB36"/>
      <c r="AC36"/>
      <c r="AD36"/>
    </row>
    <row r="37" spans="1:78" s="24" customFormat="1" ht="16.5" thickBot="1" x14ac:dyDescent="0.25">
      <c r="A37" s="54" t="str">
        <f>IF(F37&lt;&gt;"",1+MAX($A$6:A36),"")</f>
        <v/>
      </c>
      <c r="B37" s="4"/>
      <c r="C37" s="2"/>
      <c r="D37" s="66"/>
      <c r="E37" s="5"/>
      <c r="F37" s="65"/>
      <c r="G37" s="26"/>
      <c r="H37" s="65"/>
      <c r="I37" s="27"/>
      <c r="J37" s="222"/>
      <c r="K37" s="223"/>
      <c r="L37" s="223"/>
      <c r="M37" s="28"/>
      <c r="N37" s="28"/>
      <c r="O37" s="28"/>
      <c r="P37" s="28"/>
      <c r="Q37" s="30"/>
      <c r="R37" s="29"/>
      <c r="S37" s="12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</row>
    <row r="38" spans="1:78" ht="19.5" thickBot="1" x14ac:dyDescent="0.25">
      <c r="A38" s="54" t="str">
        <f>IF(F38&lt;&gt;"",1+MAX($A$6:A37),"")</f>
        <v/>
      </c>
      <c r="B38" s="198" t="s">
        <v>187</v>
      </c>
      <c r="C38" s="81"/>
      <c r="D38" s="81"/>
      <c r="E38" s="78" t="s">
        <v>63</v>
      </c>
      <c r="F38" s="80"/>
      <c r="G38" s="80"/>
      <c r="H38" s="78"/>
      <c r="I38" s="78"/>
      <c r="J38" s="224"/>
      <c r="K38" s="224"/>
      <c r="L38" s="224"/>
      <c r="M38" s="78"/>
      <c r="N38" s="78"/>
      <c r="O38" s="78"/>
      <c r="P38" s="79"/>
      <c r="Q38" s="78"/>
      <c r="R38" s="77"/>
      <c r="S38" s="77"/>
      <c r="T38" s="76"/>
      <c r="U38" s="76"/>
      <c r="V38" s="76"/>
      <c r="W38" s="76"/>
      <c r="X38" s="76"/>
      <c r="Y38"/>
      <c r="Z38"/>
      <c r="AA38"/>
      <c r="AB38"/>
      <c r="AC38"/>
      <c r="AD38"/>
    </row>
    <row r="39" spans="1:78" s="214" customFormat="1" ht="63" x14ac:dyDescent="0.2">
      <c r="A39" s="54">
        <f>IF(F39&lt;&gt;"",1+MAX($A$6:A38),"")</f>
        <v>8</v>
      </c>
      <c r="B39" s="2" t="s">
        <v>54</v>
      </c>
      <c r="C39" s="74" t="s">
        <v>64</v>
      </c>
      <c r="D39" s="213"/>
      <c r="E39" s="199" t="s">
        <v>213</v>
      </c>
      <c r="F39" s="120">
        <f>18778*1.75/27</f>
        <v>1217.0925925925926</v>
      </c>
      <c r="G39" s="22">
        <v>0.1</v>
      </c>
      <c r="H39" s="67">
        <f>F39*(1+G39)</f>
        <v>1338.801851851852</v>
      </c>
      <c r="I39" s="112" t="s">
        <v>11</v>
      </c>
      <c r="J39" s="218">
        <v>34</v>
      </c>
      <c r="K39" s="218">
        <v>0</v>
      </c>
      <c r="L39" s="219">
        <v>0</v>
      </c>
      <c r="M39" s="123">
        <f>(J39*H39)</f>
        <v>45519.262962962966</v>
      </c>
      <c r="N39" s="123">
        <f>K39*H39</f>
        <v>0</v>
      </c>
      <c r="O39" s="123">
        <f>L39*H39</f>
        <v>0</v>
      </c>
      <c r="P39" s="124">
        <f>(L39+K39+J39)</f>
        <v>34</v>
      </c>
      <c r="Q39" s="125">
        <f>P39*H39</f>
        <v>45519.262962962966</v>
      </c>
      <c r="R39" s="47"/>
      <c r="S39" s="12">
        <f>H39*K39</f>
        <v>0</v>
      </c>
    </row>
    <row r="40" spans="1:78" ht="16.5" thickBot="1" x14ac:dyDescent="0.25">
      <c r="A40" s="54" t="str">
        <f>IF(F40&lt;&gt;"",1+MAX($A$6:A39),"")</f>
        <v/>
      </c>
      <c r="B40" s="14"/>
      <c r="C40" s="2"/>
      <c r="D40" s="73"/>
      <c r="E40" s="187"/>
      <c r="F40" s="113"/>
      <c r="G40" s="51"/>
      <c r="H40" s="68"/>
      <c r="I40" s="50"/>
      <c r="J40" s="220"/>
      <c r="K40" s="220"/>
      <c r="L40" s="220"/>
      <c r="M40" s="49"/>
      <c r="N40" s="49"/>
      <c r="O40" s="49"/>
      <c r="P40" s="48"/>
      <c r="Q40" s="75"/>
      <c r="R40" s="47"/>
      <c r="S40" s="12"/>
      <c r="T40"/>
      <c r="U40"/>
      <c r="V40"/>
      <c r="W40"/>
      <c r="X40"/>
      <c r="Y40"/>
      <c r="Z40"/>
      <c r="AA40"/>
      <c r="AB40"/>
      <c r="AC40"/>
      <c r="AD40"/>
    </row>
    <row r="41" spans="1:78" ht="16.5" thickBot="1" x14ac:dyDescent="0.25">
      <c r="A41" s="54" t="str">
        <f>IF(F41&lt;&gt;"",1+MAX($A$6:A40),"")</f>
        <v/>
      </c>
      <c r="B41" s="14"/>
      <c r="C41" s="74"/>
      <c r="D41" s="73"/>
      <c r="E41" s="72" t="s">
        <v>65</v>
      </c>
      <c r="F41" s="64"/>
      <c r="G41" s="71"/>
      <c r="H41" s="64"/>
      <c r="I41" s="19"/>
      <c r="J41" s="221"/>
      <c r="K41" s="221"/>
      <c r="L41" s="221"/>
      <c r="M41" s="15">
        <f>SUM(M39:M40)</f>
        <v>45519.262962962966</v>
      </c>
      <c r="N41" s="16">
        <f>SUM(N39:N40)</f>
        <v>0</v>
      </c>
      <c r="O41" s="17">
        <f>SUM(O39:O40)</f>
        <v>0</v>
      </c>
      <c r="P41" s="70"/>
      <c r="Q41" s="69"/>
      <c r="R41" s="46">
        <f>SUM(Q39:Q40)</f>
        <v>45519.262962962966</v>
      </c>
      <c r="S41" s="12"/>
      <c r="T41" s="23">
        <f>M41+N41+O41-R41</f>
        <v>0</v>
      </c>
      <c r="U41"/>
      <c r="V41"/>
      <c r="W41"/>
      <c r="X41"/>
      <c r="Y41"/>
      <c r="Z41"/>
      <c r="AA41"/>
      <c r="AB41"/>
      <c r="AC41"/>
      <c r="AD41"/>
    </row>
    <row r="42" spans="1:78" s="24" customFormat="1" ht="16.5" thickBot="1" x14ac:dyDescent="0.25">
      <c r="A42" s="54" t="str">
        <f>IF(F42&lt;&gt;"",1+MAX($A$6:A41),"")</f>
        <v/>
      </c>
      <c r="B42" s="4"/>
      <c r="C42" s="2"/>
      <c r="D42" s="66"/>
      <c r="E42" s="5"/>
      <c r="F42" s="65"/>
      <c r="G42" s="26"/>
      <c r="H42" s="65"/>
      <c r="I42" s="27"/>
      <c r="J42" s="222"/>
      <c r="K42" s="223"/>
      <c r="L42" s="223"/>
      <c r="M42" s="28"/>
      <c r="N42" s="28"/>
      <c r="O42" s="28"/>
      <c r="P42" s="28"/>
      <c r="Q42" s="30"/>
      <c r="R42" s="29"/>
      <c r="S42" s="12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</row>
    <row r="43" spans="1:78" ht="19.5" thickBot="1" x14ac:dyDescent="0.25">
      <c r="A43" s="54" t="str">
        <f>IF(F43&lt;&gt;"",1+MAX($A$6:A42),"")</f>
        <v/>
      </c>
      <c r="B43" s="198" t="s">
        <v>188</v>
      </c>
      <c r="C43" s="81"/>
      <c r="D43" s="81"/>
      <c r="E43" s="78" t="s">
        <v>66</v>
      </c>
      <c r="F43" s="80"/>
      <c r="G43" s="80"/>
      <c r="H43" s="78"/>
      <c r="I43" s="78"/>
      <c r="J43" s="224"/>
      <c r="K43" s="224"/>
      <c r="L43" s="224"/>
      <c r="M43" s="78"/>
      <c r="N43" s="78"/>
      <c r="O43" s="78"/>
      <c r="P43" s="79"/>
      <c r="Q43" s="78"/>
      <c r="R43" s="77"/>
      <c r="S43" s="77"/>
      <c r="T43" s="76"/>
      <c r="U43" s="76"/>
      <c r="V43" s="76"/>
      <c r="W43" s="76"/>
      <c r="X43" s="76"/>
      <c r="Y43"/>
      <c r="Z43"/>
      <c r="AA43"/>
      <c r="AB43"/>
      <c r="AC43"/>
      <c r="AD43"/>
    </row>
    <row r="44" spans="1:78" ht="47.25" x14ac:dyDescent="0.2">
      <c r="A44" s="54">
        <f>IF(F44&lt;&gt;"",1+MAX($A$6:A43),"")</f>
        <v>9</v>
      </c>
      <c r="B44" s="206" t="s">
        <v>64</v>
      </c>
      <c r="C44" s="206" t="s">
        <v>67</v>
      </c>
      <c r="D44" s="197"/>
      <c r="E44" s="199" t="s">
        <v>138</v>
      </c>
      <c r="F44" s="120">
        <f>(79*254)/9</f>
        <v>2229.5555555555557</v>
      </c>
      <c r="G44" s="22">
        <v>0.1</v>
      </c>
      <c r="H44" s="67">
        <f>F44*(1+G44)</f>
        <v>2452.5111111111114</v>
      </c>
      <c r="I44" s="112" t="s">
        <v>68</v>
      </c>
      <c r="J44" s="218">
        <f>1.2*9</f>
        <v>10.799999999999999</v>
      </c>
      <c r="K44" s="218">
        <v>0</v>
      </c>
      <c r="L44" s="219">
        <v>0</v>
      </c>
      <c r="M44" s="123">
        <f>(J44*H44)</f>
        <v>26487.119999999999</v>
      </c>
      <c r="N44" s="123">
        <f>K44*H44</f>
        <v>0</v>
      </c>
      <c r="O44" s="123">
        <f>L44*H44</f>
        <v>0</v>
      </c>
      <c r="P44" s="124">
        <f>(L44+K44+J44)</f>
        <v>10.799999999999999</v>
      </c>
      <c r="Q44" s="125">
        <f>P44*H44</f>
        <v>26487.119999999999</v>
      </c>
      <c r="R44" s="47"/>
      <c r="S44" s="12">
        <f>H44*K44</f>
        <v>0</v>
      </c>
      <c r="T44"/>
      <c r="U44"/>
      <c r="V44"/>
      <c r="W44"/>
      <c r="X44"/>
      <c r="Y44"/>
      <c r="Z44"/>
      <c r="AA44"/>
      <c r="AB44"/>
      <c r="AC44"/>
      <c r="AD44"/>
    </row>
    <row r="45" spans="1:78" ht="16.5" thickBot="1" x14ac:dyDescent="0.25">
      <c r="A45" s="54" t="str">
        <f>IF(F45&lt;&gt;"",1+MAX($A$6:A44),"")</f>
        <v/>
      </c>
      <c r="B45" s="14"/>
      <c r="C45" s="2"/>
      <c r="D45" s="73"/>
      <c r="E45" s="187"/>
      <c r="F45" s="207"/>
      <c r="G45" s="51"/>
      <c r="H45" s="68"/>
      <c r="I45" s="50"/>
      <c r="J45" s="220"/>
      <c r="K45" s="220"/>
      <c r="L45" s="220"/>
      <c r="M45" s="49"/>
      <c r="N45" s="49"/>
      <c r="O45" s="49"/>
      <c r="P45" s="48"/>
      <c r="Q45" s="75"/>
      <c r="R45" s="47"/>
      <c r="S45" s="12"/>
      <c r="T45"/>
      <c r="U45"/>
      <c r="V45"/>
      <c r="W45"/>
      <c r="X45"/>
      <c r="Y45"/>
      <c r="Z45"/>
      <c r="AA45"/>
      <c r="AB45"/>
      <c r="AC45"/>
      <c r="AD45"/>
    </row>
    <row r="46" spans="1:78" ht="16.5" thickBot="1" x14ac:dyDescent="0.25">
      <c r="A46" s="54" t="str">
        <f>IF(F46&lt;&gt;"",1+MAX($A$6:A45),"")</f>
        <v/>
      </c>
      <c r="B46" s="14"/>
      <c r="C46" s="74"/>
      <c r="D46" s="73"/>
      <c r="E46" s="72" t="s">
        <v>70</v>
      </c>
      <c r="F46" s="64"/>
      <c r="G46" s="71"/>
      <c r="H46" s="64"/>
      <c r="I46" s="19"/>
      <c r="J46" s="221"/>
      <c r="K46" s="221"/>
      <c r="L46" s="221"/>
      <c r="M46" s="15">
        <f>SUM(M44:M45)</f>
        <v>26487.119999999999</v>
      </c>
      <c r="N46" s="16">
        <f>SUM(N44:N45)</f>
        <v>0</v>
      </c>
      <c r="O46" s="17">
        <f>SUM(O44:O45)</f>
        <v>0</v>
      </c>
      <c r="P46" s="70"/>
      <c r="Q46" s="69"/>
      <c r="R46" s="46">
        <f>SUM(Q44:Q45)</f>
        <v>26487.119999999999</v>
      </c>
      <c r="S46" s="12"/>
      <c r="T46" s="23">
        <f>M46+N46+O46-R46</f>
        <v>0</v>
      </c>
      <c r="U46"/>
      <c r="V46"/>
      <c r="W46"/>
      <c r="X46"/>
      <c r="Y46"/>
      <c r="Z46"/>
      <c r="AA46"/>
      <c r="AB46"/>
      <c r="AC46"/>
      <c r="AD46"/>
    </row>
    <row r="47" spans="1:78" s="24" customFormat="1" ht="16.5" thickBot="1" x14ac:dyDescent="0.25">
      <c r="A47" s="54" t="str">
        <f>IF(F47&lt;&gt;"",1+MAX($A$6:A46),"")</f>
        <v/>
      </c>
      <c r="B47" s="4"/>
      <c r="C47" s="2"/>
      <c r="D47" s="66"/>
      <c r="E47" s="5"/>
      <c r="F47" s="65"/>
      <c r="G47" s="26"/>
      <c r="H47" s="65"/>
      <c r="I47" s="27"/>
      <c r="J47" s="222"/>
      <c r="K47" s="223"/>
      <c r="L47" s="223"/>
      <c r="M47" s="28"/>
      <c r="N47" s="28"/>
      <c r="O47" s="28"/>
      <c r="P47" s="28"/>
      <c r="Q47" s="30"/>
      <c r="R47" s="29"/>
      <c r="S47" s="12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</row>
    <row r="48" spans="1:78" ht="19.5" thickBot="1" x14ac:dyDescent="0.25">
      <c r="A48" s="54" t="str">
        <f>IF(F48&lt;&gt;"",1+MAX($A$6:A47),"")</f>
        <v/>
      </c>
      <c r="B48" s="198" t="s">
        <v>189</v>
      </c>
      <c r="C48" s="81"/>
      <c r="D48" s="81"/>
      <c r="E48" s="78" t="s">
        <v>69</v>
      </c>
      <c r="F48" s="80"/>
      <c r="G48" s="80"/>
      <c r="H48" s="78"/>
      <c r="I48" s="78"/>
      <c r="J48" s="224"/>
      <c r="K48" s="224"/>
      <c r="L48" s="224"/>
      <c r="M48" s="78"/>
      <c r="N48" s="78"/>
      <c r="O48" s="78"/>
      <c r="P48" s="79"/>
      <c r="Q48" s="78"/>
      <c r="R48" s="77"/>
      <c r="S48" s="77"/>
      <c r="T48" s="76"/>
      <c r="U48" s="76"/>
      <c r="V48" s="76"/>
      <c r="W48" s="76"/>
      <c r="X48" s="76"/>
      <c r="Y48"/>
      <c r="Z48"/>
      <c r="AA48"/>
      <c r="AB48"/>
      <c r="AC48"/>
      <c r="AD48"/>
    </row>
    <row r="49" spans="1:78" ht="47.25" x14ac:dyDescent="0.2">
      <c r="A49" s="54">
        <f>IF(F49&lt;&gt;"",1+MAX($A$6:A48),"")</f>
        <v>10</v>
      </c>
      <c r="B49" s="206" t="s">
        <v>64</v>
      </c>
      <c r="C49" s="206"/>
      <c r="D49" s="197"/>
      <c r="E49" s="199" t="s">
        <v>223</v>
      </c>
      <c r="F49" s="120">
        <v>340</v>
      </c>
      <c r="G49" s="22">
        <v>0.1</v>
      </c>
      <c r="H49" s="67">
        <f>F49*(1+G49)</f>
        <v>374.00000000000006</v>
      </c>
      <c r="I49" s="112" t="s">
        <v>11</v>
      </c>
      <c r="J49" s="218">
        <f>34+32</f>
        <v>66</v>
      </c>
      <c r="K49" s="218">
        <v>0</v>
      </c>
      <c r="L49" s="219">
        <v>0</v>
      </c>
      <c r="M49" s="123">
        <f>(J49*H49)</f>
        <v>24684.000000000004</v>
      </c>
      <c r="N49" s="123">
        <f>K49*H49</f>
        <v>0</v>
      </c>
      <c r="O49" s="123">
        <f>L49*H49</f>
        <v>0</v>
      </c>
      <c r="P49" s="124">
        <f>(L49+K49+J49)</f>
        <v>66</v>
      </c>
      <c r="Q49" s="125">
        <f>P49*H49</f>
        <v>24684.000000000004</v>
      </c>
      <c r="R49" s="47"/>
      <c r="S49" s="12">
        <f>H49*K49</f>
        <v>0</v>
      </c>
      <c r="T49"/>
      <c r="U49"/>
      <c r="V49"/>
      <c r="W49"/>
      <c r="X49"/>
      <c r="Y49"/>
      <c r="Z49"/>
      <c r="AA49"/>
      <c r="AB49"/>
      <c r="AC49"/>
      <c r="AD49"/>
    </row>
    <row r="50" spans="1:78" ht="16.5" thickBot="1" x14ac:dyDescent="0.25">
      <c r="A50" s="54" t="str">
        <f>IF(F50&lt;&gt;"",1+MAX($A$6:A49),"")</f>
        <v/>
      </c>
      <c r="B50" s="14"/>
      <c r="C50" s="2"/>
      <c r="D50" s="73"/>
      <c r="E50" s="187"/>
      <c r="F50" s="207"/>
      <c r="G50" s="51"/>
      <c r="H50" s="68"/>
      <c r="I50" s="50"/>
      <c r="J50" s="220"/>
      <c r="K50" s="220"/>
      <c r="L50" s="220"/>
      <c r="M50" s="49"/>
      <c r="N50" s="49"/>
      <c r="O50" s="49"/>
      <c r="P50" s="48"/>
      <c r="Q50" s="75"/>
      <c r="R50" s="47"/>
      <c r="S50" s="12"/>
      <c r="T50"/>
      <c r="U50"/>
      <c r="V50"/>
      <c r="W50"/>
      <c r="X50"/>
      <c r="Y50"/>
      <c r="Z50"/>
      <c r="AA50"/>
      <c r="AB50"/>
      <c r="AC50"/>
      <c r="AD50"/>
    </row>
    <row r="51" spans="1:78" ht="16.5" thickBot="1" x14ac:dyDescent="0.25">
      <c r="A51" s="54" t="str">
        <f>IF(F51&lt;&gt;"",1+MAX($A$6:A50),"")</f>
        <v/>
      </c>
      <c r="B51" s="14"/>
      <c r="C51" s="74"/>
      <c r="D51" s="73"/>
      <c r="E51" s="72" t="s">
        <v>71</v>
      </c>
      <c r="F51" s="64"/>
      <c r="G51" s="71"/>
      <c r="H51" s="64"/>
      <c r="I51" s="19"/>
      <c r="J51" s="221"/>
      <c r="K51" s="221"/>
      <c r="L51" s="221"/>
      <c r="M51" s="15">
        <f>SUM(M49:M50)</f>
        <v>24684.000000000004</v>
      </c>
      <c r="N51" s="16">
        <f>SUM(N49:N50)</f>
        <v>0</v>
      </c>
      <c r="O51" s="17">
        <f>SUM(O49:O50)</f>
        <v>0</v>
      </c>
      <c r="P51" s="70"/>
      <c r="Q51" s="69"/>
      <c r="R51" s="46">
        <f>SUM(Q49:Q50)</f>
        <v>24684.000000000004</v>
      </c>
      <c r="S51" s="12"/>
      <c r="T51" s="23">
        <f>M51+N51+O51-R51</f>
        <v>0</v>
      </c>
      <c r="U51"/>
      <c r="V51"/>
      <c r="W51"/>
      <c r="X51"/>
      <c r="Y51"/>
      <c r="Z51"/>
      <c r="AA51"/>
      <c r="AB51"/>
      <c r="AC51"/>
      <c r="AD51"/>
    </row>
    <row r="52" spans="1:78" s="24" customFormat="1" ht="16.5" thickBot="1" x14ac:dyDescent="0.25">
      <c r="A52" s="54" t="str">
        <f>IF(F52&lt;&gt;"",1+MAX($A$6:A51),"")</f>
        <v/>
      </c>
      <c r="B52" s="4"/>
      <c r="C52" s="2"/>
      <c r="D52" s="66"/>
      <c r="E52" s="5"/>
      <c r="F52" s="65"/>
      <c r="G52" s="26"/>
      <c r="H52" s="65"/>
      <c r="I52" s="27"/>
      <c r="J52" s="222"/>
      <c r="K52" s="223"/>
      <c r="L52" s="223"/>
      <c r="M52" s="28"/>
      <c r="N52" s="28"/>
      <c r="O52" s="28"/>
      <c r="P52" s="28"/>
      <c r="Q52" s="30"/>
      <c r="R52" s="29"/>
      <c r="S52" s="12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</row>
    <row r="53" spans="1:78" ht="19.5" thickBot="1" x14ac:dyDescent="0.25">
      <c r="A53" s="54" t="str">
        <f>IF(F53&lt;&gt;"",1+MAX($A$6:A52),"")</f>
        <v/>
      </c>
      <c r="B53" s="198" t="s">
        <v>190</v>
      </c>
      <c r="C53" s="81"/>
      <c r="D53" s="81"/>
      <c r="E53" s="78" t="s">
        <v>72</v>
      </c>
      <c r="F53" s="80"/>
      <c r="G53" s="80"/>
      <c r="H53" s="78"/>
      <c r="I53" s="78"/>
      <c r="J53" s="224"/>
      <c r="K53" s="224"/>
      <c r="L53" s="224"/>
      <c r="M53" s="78"/>
      <c r="N53" s="78"/>
      <c r="O53" s="78"/>
      <c r="P53" s="79"/>
      <c r="Q53" s="78"/>
      <c r="R53" s="77"/>
      <c r="S53" s="77"/>
      <c r="T53" s="76"/>
      <c r="U53" s="76"/>
      <c r="V53" s="76"/>
      <c r="W53" s="76"/>
      <c r="X53" s="76"/>
      <c r="Y53"/>
      <c r="Z53"/>
      <c r="AA53"/>
      <c r="AB53"/>
      <c r="AC53"/>
      <c r="AD53"/>
    </row>
    <row r="54" spans="1:78" ht="47.25" x14ac:dyDescent="0.2">
      <c r="A54" s="54">
        <f>IF(F54&lt;&gt;"",1+MAX($A$6:A53),"")</f>
        <v>11</v>
      </c>
      <c r="B54" s="206" t="s">
        <v>64</v>
      </c>
      <c r="C54" s="206"/>
      <c r="D54" s="197"/>
      <c r="E54" s="199" t="s">
        <v>224</v>
      </c>
      <c r="F54" s="120">
        <v>340</v>
      </c>
      <c r="G54" s="22">
        <v>0.1</v>
      </c>
      <c r="H54" s="67">
        <f>F54*(1+G54)</f>
        <v>374.00000000000006</v>
      </c>
      <c r="I54" s="112" t="s">
        <v>68</v>
      </c>
      <c r="J54" s="218">
        <f>0.6*9</f>
        <v>5.3999999999999995</v>
      </c>
      <c r="K54" s="218">
        <f>0.9*9</f>
        <v>8.1</v>
      </c>
      <c r="L54" s="219">
        <v>0</v>
      </c>
      <c r="M54" s="123">
        <f>(J54*H54)</f>
        <v>2019.6000000000001</v>
      </c>
      <c r="N54" s="123">
        <f>K54*H54</f>
        <v>3029.4000000000005</v>
      </c>
      <c r="O54" s="123">
        <f>L54*H54</f>
        <v>0</v>
      </c>
      <c r="P54" s="124">
        <f>(L54+K54+J54)</f>
        <v>13.5</v>
      </c>
      <c r="Q54" s="125">
        <f>P54*H54</f>
        <v>5049.0000000000009</v>
      </c>
      <c r="R54" s="47"/>
      <c r="S54" s="12">
        <f>H54*K54</f>
        <v>3029.4000000000005</v>
      </c>
      <c r="T54"/>
      <c r="U54"/>
      <c r="V54"/>
      <c r="W54"/>
      <c r="X54"/>
      <c r="Y54"/>
      <c r="Z54"/>
      <c r="AA54"/>
      <c r="AB54"/>
      <c r="AC54"/>
      <c r="AD54"/>
    </row>
    <row r="55" spans="1:78" ht="16.5" thickBot="1" x14ac:dyDescent="0.25">
      <c r="A55" s="54" t="str">
        <f>IF(F55&lt;&gt;"",1+MAX($A$6:A54),"")</f>
        <v/>
      </c>
      <c r="B55" s="14"/>
      <c r="C55" s="2"/>
      <c r="D55" s="73"/>
      <c r="E55" s="187"/>
      <c r="F55" s="207"/>
      <c r="G55" s="51"/>
      <c r="H55" s="68"/>
      <c r="I55" s="50"/>
      <c r="J55" s="220"/>
      <c r="K55" s="220"/>
      <c r="L55" s="220"/>
      <c r="M55" s="49"/>
      <c r="N55" s="49"/>
      <c r="O55" s="49"/>
      <c r="P55" s="48"/>
      <c r="Q55" s="75"/>
      <c r="R55" s="47"/>
      <c r="S55" s="12"/>
      <c r="T55"/>
      <c r="U55"/>
      <c r="V55"/>
      <c r="W55"/>
      <c r="X55"/>
      <c r="Y55"/>
      <c r="Z55"/>
      <c r="AA55"/>
      <c r="AB55"/>
      <c r="AC55"/>
      <c r="AD55"/>
    </row>
    <row r="56" spans="1:78" ht="16.5" thickBot="1" x14ac:dyDescent="0.25">
      <c r="A56" s="54" t="str">
        <f>IF(F56&lt;&gt;"",1+MAX($A$6:A55),"")</f>
        <v/>
      </c>
      <c r="B56" s="14"/>
      <c r="C56" s="74"/>
      <c r="D56" s="73"/>
      <c r="E56" s="72" t="s">
        <v>73</v>
      </c>
      <c r="F56" s="64"/>
      <c r="G56" s="71"/>
      <c r="H56" s="64"/>
      <c r="I56" s="19"/>
      <c r="J56" s="221"/>
      <c r="K56" s="221"/>
      <c r="L56" s="221"/>
      <c r="M56" s="15">
        <f>SUM(M54:M55)</f>
        <v>2019.6000000000001</v>
      </c>
      <c r="N56" s="16">
        <f>SUM(N54:N55)</f>
        <v>3029.4000000000005</v>
      </c>
      <c r="O56" s="17">
        <f>SUM(O54:O55)</f>
        <v>0</v>
      </c>
      <c r="P56" s="70"/>
      <c r="Q56" s="69"/>
      <c r="R56" s="46">
        <f>SUM(Q54:Q55)</f>
        <v>5049.0000000000009</v>
      </c>
      <c r="S56" s="12"/>
      <c r="T56" s="23">
        <f>M56+N56+O56-R56</f>
        <v>0</v>
      </c>
      <c r="U56"/>
      <c r="V56"/>
      <c r="W56"/>
      <c r="X56"/>
      <c r="Y56"/>
      <c r="Z56"/>
      <c r="AA56"/>
      <c r="AB56"/>
      <c r="AC56"/>
      <c r="AD56"/>
    </row>
    <row r="57" spans="1:78" s="24" customFormat="1" ht="16.5" thickBot="1" x14ac:dyDescent="0.25">
      <c r="A57" s="54" t="str">
        <f>IF(F57&lt;&gt;"",1+MAX($A$6:A56),"")</f>
        <v/>
      </c>
      <c r="B57" s="4"/>
      <c r="C57" s="2"/>
      <c r="D57" s="66"/>
      <c r="E57" s="5"/>
      <c r="F57" s="65"/>
      <c r="G57" s="26"/>
      <c r="H57" s="65"/>
      <c r="I57" s="27"/>
      <c r="J57" s="222"/>
      <c r="K57" s="223"/>
      <c r="L57" s="223"/>
      <c r="M57" s="28"/>
      <c r="N57" s="28"/>
      <c r="O57" s="28"/>
      <c r="P57" s="28"/>
      <c r="Q57" s="30"/>
      <c r="R57" s="29"/>
      <c r="S57" s="12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</row>
    <row r="58" spans="1:78" ht="19.5" thickBot="1" x14ac:dyDescent="0.25">
      <c r="A58" s="54" t="str">
        <f>IF(F58&lt;&gt;"",1+MAX($A$6:A57),"")</f>
        <v/>
      </c>
      <c r="B58" s="198" t="s">
        <v>191</v>
      </c>
      <c r="C58" s="81"/>
      <c r="D58" s="81"/>
      <c r="E58" s="78" t="s">
        <v>74</v>
      </c>
      <c r="F58" s="80"/>
      <c r="G58" s="80"/>
      <c r="H58" s="78"/>
      <c r="I58" s="78"/>
      <c r="J58" s="224"/>
      <c r="K58" s="224"/>
      <c r="L58" s="224"/>
      <c r="M58" s="78"/>
      <c r="N58" s="78"/>
      <c r="O58" s="78"/>
      <c r="P58" s="79"/>
      <c r="Q58" s="78"/>
      <c r="R58" s="77"/>
      <c r="S58" s="77"/>
      <c r="T58" s="76"/>
      <c r="U58" s="76"/>
      <c r="V58" s="76"/>
      <c r="W58" s="76"/>
      <c r="X58" s="76"/>
      <c r="Y58"/>
      <c r="Z58"/>
      <c r="AA58"/>
      <c r="AB58"/>
      <c r="AC58"/>
      <c r="AD58"/>
    </row>
    <row r="59" spans="1:78" ht="31.5" x14ac:dyDescent="0.2">
      <c r="A59" s="54">
        <f>IF(F59&lt;&gt;"",1+MAX($A$6:A58),"")</f>
        <v>12</v>
      </c>
      <c r="B59" s="206" t="s">
        <v>64</v>
      </c>
      <c r="C59" s="206" t="s">
        <v>217</v>
      </c>
      <c r="D59" s="197">
        <f>79*9.40740740740741</f>
        <v>743.18518518518511</v>
      </c>
      <c r="E59" s="199" t="s">
        <v>75</v>
      </c>
      <c r="F59" s="120">
        <f>(79*254)/9</f>
        <v>2229.5555555555557</v>
      </c>
      <c r="G59" s="22">
        <v>0.1</v>
      </c>
      <c r="H59" s="67">
        <f>F59*(1+G59)</f>
        <v>2452.5111111111114</v>
      </c>
      <c r="I59" s="112" t="s">
        <v>68</v>
      </c>
      <c r="J59" s="218">
        <v>7.25</v>
      </c>
      <c r="K59" s="229">
        <v>14</v>
      </c>
      <c r="L59" s="219">
        <v>0</v>
      </c>
      <c r="M59" s="123">
        <f>(J59*H59)</f>
        <v>17780.705555555556</v>
      </c>
      <c r="N59" s="123">
        <f>K59*H59</f>
        <v>34335.155555555561</v>
      </c>
      <c r="O59" s="123">
        <f>L59*H59</f>
        <v>0</v>
      </c>
      <c r="P59" s="124">
        <f>(L59+K59+J59)</f>
        <v>21.25</v>
      </c>
      <c r="Q59" s="125">
        <f>P59*H59</f>
        <v>52115.861111111117</v>
      </c>
      <c r="R59" s="47"/>
      <c r="S59" s="12">
        <f>H59*K59</f>
        <v>34335.155555555561</v>
      </c>
      <c r="T59"/>
      <c r="U59"/>
      <c r="V59"/>
      <c r="W59"/>
      <c r="X59"/>
      <c r="Y59"/>
      <c r="Z59"/>
      <c r="AA59"/>
      <c r="AB59"/>
      <c r="AC59"/>
      <c r="AD59"/>
    </row>
    <row r="60" spans="1:78" ht="16.5" thickBot="1" x14ac:dyDescent="0.25">
      <c r="A60" s="54" t="str">
        <f>IF(F60&lt;&gt;"",1+MAX($A$6:A59),"")</f>
        <v/>
      </c>
      <c r="B60" s="14"/>
      <c r="C60" s="2"/>
      <c r="D60" s="73"/>
      <c r="E60" s="187"/>
      <c r="F60" s="207"/>
      <c r="G60" s="51"/>
      <c r="H60" s="68"/>
      <c r="I60" s="50"/>
      <c r="J60" s="220"/>
      <c r="K60" s="220"/>
      <c r="L60" s="220"/>
      <c r="M60" s="49"/>
      <c r="N60" s="49"/>
      <c r="O60" s="49"/>
      <c r="P60" s="48"/>
      <c r="Q60" s="75"/>
      <c r="R60" s="47"/>
      <c r="S60" s="12"/>
      <c r="T60"/>
      <c r="U60"/>
      <c r="V60"/>
      <c r="W60"/>
      <c r="X60"/>
      <c r="Y60"/>
      <c r="Z60"/>
      <c r="AA60"/>
      <c r="AB60"/>
      <c r="AC60"/>
      <c r="AD60"/>
    </row>
    <row r="61" spans="1:78" ht="16.5" thickBot="1" x14ac:dyDescent="0.25">
      <c r="A61" s="54" t="str">
        <f>IF(F61&lt;&gt;"",1+MAX($A$6:A60),"")</f>
        <v/>
      </c>
      <c r="B61" s="14"/>
      <c r="C61" s="74"/>
      <c r="D61" s="73"/>
      <c r="E61" s="72" t="s">
        <v>76</v>
      </c>
      <c r="F61" s="64"/>
      <c r="G61" s="71"/>
      <c r="H61" s="64"/>
      <c r="I61" s="19"/>
      <c r="J61" s="221"/>
      <c r="K61" s="221"/>
      <c r="L61" s="221"/>
      <c r="M61" s="15">
        <f>SUM(M59:M60)</f>
        <v>17780.705555555556</v>
      </c>
      <c r="N61" s="16">
        <f>SUM(N59:N60)</f>
        <v>34335.155555555561</v>
      </c>
      <c r="O61" s="17">
        <f>SUM(O59:O60)</f>
        <v>0</v>
      </c>
      <c r="P61" s="70"/>
      <c r="Q61" s="69"/>
      <c r="R61" s="46">
        <f>SUM(Q59:Q60)</f>
        <v>52115.861111111117</v>
      </c>
      <c r="S61" s="12"/>
      <c r="T61" s="23">
        <f>M61+N61+O61-R61</f>
        <v>0</v>
      </c>
      <c r="U61"/>
      <c r="V61"/>
      <c r="W61"/>
      <c r="X61"/>
      <c r="Y61"/>
      <c r="Z61"/>
      <c r="AA61"/>
      <c r="AB61"/>
      <c r="AC61"/>
      <c r="AD61"/>
    </row>
    <row r="62" spans="1:78" s="24" customFormat="1" ht="16.5" thickBot="1" x14ac:dyDescent="0.25">
      <c r="A62" s="54" t="str">
        <f>IF(F62&lt;&gt;"",1+MAX($A$6:A61),"")</f>
        <v/>
      </c>
      <c r="B62" s="4"/>
      <c r="C62" s="2"/>
      <c r="D62" s="66"/>
      <c r="E62" s="5"/>
      <c r="F62" s="65"/>
      <c r="G62" s="26"/>
      <c r="H62" s="65"/>
      <c r="I62" s="27"/>
      <c r="J62" s="222"/>
      <c r="K62" s="223"/>
      <c r="L62" s="223"/>
      <c r="M62" s="28"/>
      <c r="N62" s="28"/>
      <c r="O62" s="28"/>
      <c r="P62" s="28"/>
      <c r="Q62" s="30"/>
      <c r="R62" s="29"/>
      <c r="S62" s="12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</row>
    <row r="63" spans="1:78" ht="19.5" thickBot="1" x14ac:dyDescent="0.25">
      <c r="A63" s="54" t="str">
        <f>IF(F63&lt;&gt;"",1+MAX($A$6:A62),"")</f>
        <v/>
      </c>
      <c r="B63" s="198" t="s">
        <v>192</v>
      </c>
      <c r="C63" s="81"/>
      <c r="D63" s="81"/>
      <c r="E63" s="78" t="s">
        <v>77</v>
      </c>
      <c r="F63" s="80"/>
      <c r="G63" s="80"/>
      <c r="H63" s="78"/>
      <c r="I63" s="78"/>
      <c r="J63" s="224"/>
      <c r="K63" s="224"/>
      <c r="L63" s="224"/>
      <c r="M63" s="78"/>
      <c r="N63" s="78"/>
      <c r="O63" s="78"/>
      <c r="P63" s="79"/>
      <c r="Q63" s="78"/>
      <c r="R63" s="77"/>
      <c r="S63" s="77"/>
      <c r="T63" s="76"/>
      <c r="U63" s="76"/>
      <c r="V63" s="76"/>
      <c r="W63" s="76"/>
      <c r="X63" s="76"/>
      <c r="Y63"/>
      <c r="Z63"/>
      <c r="AA63"/>
      <c r="AB63"/>
      <c r="AC63"/>
      <c r="AD63"/>
    </row>
    <row r="64" spans="1:78" s="214" customFormat="1" ht="110.25" x14ac:dyDescent="0.2">
      <c r="A64" s="54">
        <f>IF(F64&lt;&gt;"",1+MAX($A$6:A63),"")</f>
        <v>13</v>
      </c>
      <c r="B64" s="74" t="s">
        <v>64</v>
      </c>
      <c r="C64" s="74"/>
      <c r="D64" s="197"/>
      <c r="E64" s="199" t="s">
        <v>226</v>
      </c>
      <c r="F64" s="120">
        <v>80</v>
      </c>
      <c r="G64" s="22">
        <v>0.1</v>
      </c>
      <c r="H64" s="67">
        <f>F64*(1+G64)</f>
        <v>88</v>
      </c>
      <c r="I64" s="112" t="s">
        <v>78</v>
      </c>
      <c r="J64" s="229">
        <v>22</v>
      </c>
      <c r="K64" s="229">
        <v>100</v>
      </c>
      <c r="L64" s="219">
        <v>0</v>
      </c>
      <c r="M64" s="123">
        <f>(J64*H64)</f>
        <v>1936</v>
      </c>
      <c r="N64" s="123">
        <f>K64*H64</f>
        <v>8800</v>
      </c>
      <c r="O64" s="123">
        <f>L64*H64</f>
        <v>0</v>
      </c>
      <c r="P64" s="124">
        <f>(L64+K64+J64)</f>
        <v>122</v>
      </c>
      <c r="Q64" s="125">
        <f>P64*H64</f>
        <v>10736</v>
      </c>
      <c r="R64" s="47"/>
      <c r="S64" s="12">
        <f>H64*K64</f>
        <v>8800</v>
      </c>
    </row>
    <row r="65" spans="1:78" ht="16.5" thickBot="1" x14ac:dyDescent="0.25">
      <c r="A65" s="54" t="str">
        <f>IF(F65&lt;&gt;"",1+MAX($A$6:A64),"")</f>
        <v/>
      </c>
      <c r="B65" s="14"/>
      <c r="C65" s="2"/>
      <c r="D65" s="73"/>
      <c r="E65" s="187"/>
      <c r="F65" s="207"/>
      <c r="G65" s="51"/>
      <c r="H65" s="68"/>
      <c r="I65" s="50"/>
      <c r="J65" s="220"/>
      <c r="K65" s="220"/>
      <c r="L65" s="220"/>
      <c r="M65" s="49"/>
      <c r="N65" s="49"/>
      <c r="O65" s="49"/>
      <c r="P65" s="48"/>
      <c r="Q65" s="75"/>
      <c r="R65" s="47"/>
      <c r="S65" s="12"/>
      <c r="T65"/>
      <c r="U65"/>
      <c r="V65"/>
      <c r="W65"/>
      <c r="X65"/>
      <c r="Y65"/>
      <c r="Z65"/>
      <c r="AA65"/>
      <c r="AB65"/>
      <c r="AC65"/>
      <c r="AD65"/>
    </row>
    <row r="66" spans="1:78" ht="16.5" thickBot="1" x14ac:dyDescent="0.25">
      <c r="A66" s="54" t="str">
        <f>IF(F66&lt;&gt;"",1+MAX($A$6:A65),"")</f>
        <v/>
      </c>
      <c r="B66" s="14"/>
      <c r="C66" s="74"/>
      <c r="D66" s="73"/>
      <c r="E66" s="72" t="s">
        <v>80</v>
      </c>
      <c r="F66" s="64"/>
      <c r="G66" s="71"/>
      <c r="H66" s="64"/>
      <c r="I66" s="19"/>
      <c r="J66" s="221"/>
      <c r="K66" s="221"/>
      <c r="L66" s="221"/>
      <c r="M66" s="15">
        <f>SUM(M64:M65)</f>
        <v>1936</v>
      </c>
      <c r="N66" s="16">
        <f>SUM(N64:N65)</f>
        <v>8800</v>
      </c>
      <c r="O66" s="17">
        <f>SUM(O64:O65)</f>
        <v>0</v>
      </c>
      <c r="P66" s="70"/>
      <c r="Q66" s="69"/>
      <c r="R66" s="46">
        <f>SUM(Q64:Q65)</f>
        <v>10736</v>
      </c>
      <c r="S66" s="12"/>
      <c r="T66" s="23">
        <f>M66+N66+O66-R66</f>
        <v>0</v>
      </c>
      <c r="U66"/>
      <c r="V66"/>
      <c r="W66"/>
      <c r="X66"/>
      <c r="Y66"/>
      <c r="Z66"/>
      <c r="AA66"/>
      <c r="AB66"/>
      <c r="AC66"/>
      <c r="AD66"/>
    </row>
    <row r="67" spans="1:78" s="24" customFormat="1" ht="16.5" thickBot="1" x14ac:dyDescent="0.25">
      <c r="A67" s="54" t="str">
        <f>IF(F67&lt;&gt;"",1+MAX($A$6:A66),"")</f>
        <v/>
      </c>
      <c r="B67" s="4"/>
      <c r="C67" s="2"/>
      <c r="D67" s="66"/>
      <c r="E67" s="5"/>
      <c r="F67" s="65"/>
      <c r="G67" s="26"/>
      <c r="H67" s="65"/>
      <c r="I67" s="27"/>
      <c r="J67" s="222"/>
      <c r="K67" s="223"/>
      <c r="L67" s="223"/>
      <c r="M67" s="28"/>
      <c r="N67" s="28"/>
      <c r="O67" s="28"/>
      <c r="P67" s="28"/>
      <c r="Q67" s="30"/>
      <c r="R67" s="29"/>
      <c r="S67" s="12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</row>
    <row r="68" spans="1:78" ht="19.5" thickBot="1" x14ac:dyDescent="0.25">
      <c r="A68" s="54" t="str">
        <f>IF(F68&lt;&gt;"",1+MAX($A$6:A67),"")</f>
        <v/>
      </c>
      <c r="B68" s="198" t="s">
        <v>193</v>
      </c>
      <c r="C68" s="81"/>
      <c r="D68" s="81"/>
      <c r="E68" s="78" t="s">
        <v>194</v>
      </c>
      <c r="F68" s="80"/>
      <c r="G68" s="80"/>
      <c r="H68" s="78"/>
      <c r="I68" s="78"/>
      <c r="J68" s="224"/>
      <c r="K68" s="224"/>
      <c r="L68" s="224"/>
      <c r="M68" s="78"/>
      <c r="N68" s="78"/>
      <c r="O68" s="78"/>
      <c r="P68" s="79"/>
      <c r="Q68" s="78"/>
      <c r="R68" s="77"/>
      <c r="S68" s="77"/>
      <c r="T68" s="76"/>
      <c r="U68" s="76"/>
      <c r="V68" s="76"/>
      <c r="W68" s="76"/>
      <c r="X68" s="76"/>
      <c r="Y68"/>
      <c r="Z68"/>
      <c r="AA68"/>
      <c r="AB68"/>
      <c r="AC68"/>
      <c r="AD68"/>
    </row>
    <row r="69" spans="1:78" ht="31.5" x14ac:dyDescent="0.2">
      <c r="A69" s="54">
        <f>IF(F69&lt;&gt;"",1+MAX($A$6:A68),"")</f>
        <v>14</v>
      </c>
      <c r="B69" s="206" t="s">
        <v>64</v>
      </c>
      <c r="C69" s="206" t="s">
        <v>218</v>
      </c>
      <c r="D69" s="197">
        <f>H69*0.5/3</f>
        <v>401.98888888888888</v>
      </c>
      <c r="E69" s="199" t="s">
        <v>82</v>
      </c>
      <c r="F69" s="120">
        <f>(78*253)/9</f>
        <v>2192.6666666666665</v>
      </c>
      <c r="G69" s="22">
        <v>0.1</v>
      </c>
      <c r="H69" s="67">
        <f>F69*(1+G69)</f>
        <v>2411.9333333333334</v>
      </c>
      <c r="I69" s="112" t="s">
        <v>81</v>
      </c>
      <c r="J69" s="218">
        <v>3</v>
      </c>
      <c r="K69" s="218">
        <v>6.33</v>
      </c>
      <c r="L69" s="219">
        <v>0</v>
      </c>
      <c r="M69" s="123">
        <f>(J69*H69)</f>
        <v>7235.8</v>
      </c>
      <c r="N69" s="123">
        <f>K69*H69</f>
        <v>15267.538</v>
      </c>
      <c r="O69" s="123">
        <f>L69*H69</f>
        <v>0</v>
      </c>
      <c r="P69" s="124">
        <f>(L69+K69+J69)</f>
        <v>9.33</v>
      </c>
      <c r="Q69" s="125">
        <f>P69*H69</f>
        <v>22503.338</v>
      </c>
      <c r="R69" s="47"/>
      <c r="S69" s="12">
        <f>H69*K69</f>
        <v>15267.538</v>
      </c>
      <c r="T69"/>
      <c r="U69"/>
      <c r="V69"/>
      <c r="W69"/>
      <c r="X69"/>
      <c r="Y69"/>
      <c r="Z69"/>
      <c r="AA69"/>
      <c r="AB69"/>
      <c r="AC69"/>
      <c r="AD69"/>
    </row>
    <row r="70" spans="1:78" ht="16.5" thickBot="1" x14ac:dyDescent="0.25">
      <c r="A70" s="54" t="str">
        <f>IF(F70&lt;&gt;"",1+MAX($A$6:A69),"")</f>
        <v/>
      </c>
      <c r="B70" s="14"/>
      <c r="C70" s="2"/>
      <c r="D70" s="73"/>
      <c r="E70" s="187"/>
      <c r="F70" s="207"/>
      <c r="G70" s="51"/>
      <c r="H70" s="68"/>
      <c r="I70" s="50"/>
      <c r="J70" s="220"/>
      <c r="K70" s="220"/>
      <c r="L70" s="220"/>
      <c r="M70" s="49"/>
      <c r="N70" s="49"/>
      <c r="O70" s="49"/>
      <c r="P70" s="48"/>
      <c r="Q70" s="75"/>
      <c r="R70" s="47"/>
      <c r="S70" s="12"/>
      <c r="T70"/>
      <c r="U70"/>
      <c r="V70"/>
      <c r="W70"/>
      <c r="X70"/>
      <c r="Y70"/>
      <c r="Z70"/>
      <c r="AA70"/>
      <c r="AB70"/>
      <c r="AC70"/>
      <c r="AD70"/>
    </row>
    <row r="71" spans="1:78" ht="16.5" thickBot="1" x14ac:dyDescent="0.25">
      <c r="A71" s="54" t="str">
        <f>IF(F71&lt;&gt;"",1+MAX($A$6:A70),"")</f>
        <v/>
      </c>
      <c r="B71" s="14"/>
      <c r="C71" s="74"/>
      <c r="D71" s="73"/>
      <c r="E71" s="72" t="s">
        <v>83</v>
      </c>
      <c r="F71" s="64"/>
      <c r="G71" s="71"/>
      <c r="H71" s="64"/>
      <c r="I71" s="19"/>
      <c r="J71" s="221"/>
      <c r="K71" s="221"/>
      <c r="L71" s="221"/>
      <c r="M71" s="15">
        <f>SUM(M69:M70)</f>
        <v>7235.8</v>
      </c>
      <c r="N71" s="16">
        <f>SUM(N69:N70)</f>
        <v>15267.538</v>
      </c>
      <c r="O71" s="17">
        <f>SUM(O69:O70)</f>
        <v>0</v>
      </c>
      <c r="P71" s="70"/>
      <c r="Q71" s="69"/>
      <c r="R71" s="46">
        <f>SUM(Q69:Q70)</f>
        <v>22503.338</v>
      </c>
      <c r="S71" s="12"/>
      <c r="T71" s="23">
        <f>M71+N71+O71-R71</f>
        <v>0</v>
      </c>
      <c r="U71"/>
      <c r="V71"/>
      <c r="W71"/>
      <c r="X71"/>
      <c r="Y71"/>
      <c r="Z71"/>
      <c r="AA71"/>
      <c r="AB71"/>
      <c r="AC71"/>
      <c r="AD71"/>
    </row>
    <row r="72" spans="1:78" s="24" customFormat="1" ht="16.5" thickBot="1" x14ac:dyDescent="0.25">
      <c r="A72" s="54" t="str">
        <f>IF(F72&lt;&gt;"",1+MAX($A$6:A71),"")</f>
        <v/>
      </c>
      <c r="B72" s="4"/>
      <c r="C72" s="2"/>
      <c r="D72" s="66"/>
      <c r="E72" s="5"/>
      <c r="F72" s="65"/>
      <c r="G72" s="26"/>
      <c r="H72" s="65"/>
      <c r="I72" s="27"/>
      <c r="J72" s="222"/>
      <c r="K72" s="223"/>
      <c r="L72" s="223"/>
      <c r="M72" s="28"/>
      <c r="N72" s="28"/>
      <c r="O72" s="28"/>
      <c r="P72" s="28"/>
      <c r="Q72" s="30"/>
      <c r="R72" s="29"/>
      <c r="S72" s="12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</row>
    <row r="73" spans="1:78" ht="19.5" thickBot="1" x14ac:dyDescent="0.25">
      <c r="A73" s="54" t="str">
        <f>IF(F73&lt;&gt;"",1+MAX($A$6:A72),"")</f>
        <v/>
      </c>
      <c r="B73" s="198" t="s">
        <v>195</v>
      </c>
      <c r="C73" s="81"/>
      <c r="D73" s="81"/>
      <c r="E73" s="78" t="s">
        <v>84</v>
      </c>
      <c r="F73" s="231"/>
      <c r="G73" s="80"/>
      <c r="H73" s="78"/>
      <c r="I73" s="78"/>
      <c r="J73" s="224"/>
      <c r="K73" s="224"/>
      <c r="L73" s="224"/>
      <c r="M73" s="78"/>
      <c r="N73" s="78"/>
      <c r="O73" s="78"/>
      <c r="P73" s="79"/>
      <c r="Q73" s="78"/>
      <c r="R73" s="77"/>
      <c r="S73" s="77"/>
      <c r="T73" s="76"/>
      <c r="U73" s="76"/>
      <c r="V73" s="76"/>
      <c r="W73" s="76"/>
      <c r="X73" s="76"/>
      <c r="Y73"/>
      <c r="Z73"/>
      <c r="AA73"/>
      <c r="AB73"/>
      <c r="AC73"/>
      <c r="AD73"/>
    </row>
    <row r="74" spans="1:78" ht="31.5" x14ac:dyDescent="0.2">
      <c r="A74" s="54">
        <f>IF(F74&lt;&gt;"",1+MAX($A$6:A73),"")</f>
        <v>15</v>
      </c>
      <c r="B74" s="206" t="s">
        <v>64</v>
      </c>
      <c r="C74" s="206" t="s">
        <v>218</v>
      </c>
      <c r="D74" s="197">
        <f>H74*0.8/3</f>
        <v>607.78666666666675</v>
      </c>
      <c r="E74" s="199" t="s">
        <v>85</v>
      </c>
      <c r="F74" s="120">
        <f>(18621/9)+3</f>
        <v>2072</v>
      </c>
      <c r="G74" s="22">
        <v>0.1</v>
      </c>
      <c r="H74" s="67">
        <f>F74*(1+G74)</f>
        <v>2279.2000000000003</v>
      </c>
      <c r="I74" s="112" t="s">
        <v>81</v>
      </c>
      <c r="J74" s="218">
        <f>D74*55/H74+9.5</f>
        <v>24.166666666666664</v>
      </c>
      <c r="K74" s="218">
        <f>D74*165/H74</f>
        <v>44</v>
      </c>
      <c r="L74" s="219">
        <v>0</v>
      </c>
      <c r="M74" s="123">
        <f>(J74*H74)</f>
        <v>55080.666666666664</v>
      </c>
      <c r="N74" s="123">
        <f>K74*H74</f>
        <v>100284.80000000002</v>
      </c>
      <c r="O74" s="123">
        <f>L74*H74</f>
        <v>0</v>
      </c>
      <c r="P74" s="124">
        <f>(L74+K74+J74)</f>
        <v>68.166666666666657</v>
      </c>
      <c r="Q74" s="125">
        <f>P74*H74</f>
        <v>155365.46666666667</v>
      </c>
      <c r="R74" s="47"/>
      <c r="S74" s="12">
        <f>H74*K74</f>
        <v>100284.80000000002</v>
      </c>
      <c r="T74"/>
      <c r="U74"/>
      <c r="V74"/>
      <c r="W74"/>
      <c r="X74"/>
      <c r="Y74"/>
      <c r="Z74"/>
      <c r="AA74"/>
      <c r="AB74"/>
      <c r="AC74"/>
      <c r="AD74"/>
    </row>
    <row r="75" spans="1:78" x14ac:dyDescent="0.2">
      <c r="A75" s="54">
        <f>IF(F75&lt;&gt;"",1+MAX($A$6:A74),"")</f>
        <v>16</v>
      </c>
      <c r="B75" s="206" t="s">
        <v>64</v>
      </c>
      <c r="C75" s="206" t="s">
        <v>133</v>
      </c>
      <c r="D75" s="228"/>
      <c r="E75" s="199" t="s">
        <v>134</v>
      </c>
      <c r="F75" s="120">
        <v>1250.3399999999999</v>
      </c>
      <c r="G75" s="22">
        <v>0.1</v>
      </c>
      <c r="H75" s="67">
        <f>F75*(1+G75)</f>
        <v>1375.374</v>
      </c>
      <c r="I75" s="112" t="s">
        <v>23</v>
      </c>
      <c r="J75" s="218">
        <v>6.2</v>
      </c>
      <c r="K75" s="218">
        <v>2.4</v>
      </c>
      <c r="L75" s="219">
        <v>0</v>
      </c>
      <c r="M75" s="123">
        <f>(J75*H75)</f>
        <v>8527.3188000000009</v>
      </c>
      <c r="N75" s="123">
        <f>K75*H75</f>
        <v>3300.8975999999998</v>
      </c>
      <c r="O75" s="123">
        <f>L75*H75</f>
        <v>0</v>
      </c>
      <c r="P75" s="124">
        <f>(L75+K75+J75)</f>
        <v>8.6</v>
      </c>
      <c r="Q75" s="125">
        <f>P75*H75</f>
        <v>11828.216399999999</v>
      </c>
      <c r="R75" s="47"/>
      <c r="S75" s="12">
        <f>H75*K75</f>
        <v>3300.8975999999998</v>
      </c>
      <c r="T75"/>
      <c r="U75"/>
      <c r="V75"/>
      <c r="W75"/>
      <c r="X75"/>
      <c r="Y75"/>
      <c r="Z75"/>
      <c r="AA75"/>
      <c r="AB75"/>
      <c r="AC75"/>
      <c r="AD75"/>
    </row>
    <row r="76" spans="1:78" x14ac:dyDescent="0.2">
      <c r="A76" s="54">
        <f>IF(F76&lt;&gt;"",1+MAX($A$6:A75),"")</f>
        <v>17</v>
      </c>
      <c r="B76" s="206" t="s">
        <v>64</v>
      </c>
      <c r="C76" s="206" t="s">
        <v>133</v>
      </c>
      <c r="D76" s="228"/>
      <c r="E76" s="199" t="s">
        <v>135</v>
      </c>
      <c r="F76" s="120">
        <v>1424.55</v>
      </c>
      <c r="G76" s="22">
        <v>0.1</v>
      </c>
      <c r="H76" s="67">
        <f>F76*(1+G76)</f>
        <v>1567.0050000000001</v>
      </c>
      <c r="I76" s="112" t="s">
        <v>23</v>
      </c>
      <c r="J76" s="218">
        <v>6.2</v>
      </c>
      <c r="K76" s="218">
        <v>2.4</v>
      </c>
      <c r="L76" s="219">
        <v>0</v>
      </c>
      <c r="M76" s="123">
        <f>(J76*H76)</f>
        <v>9715.4310000000005</v>
      </c>
      <c r="N76" s="123">
        <f>K76*H76</f>
        <v>3760.8119999999999</v>
      </c>
      <c r="O76" s="123">
        <f>L76*H76</f>
        <v>0</v>
      </c>
      <c r="P76" s="124">
        <f>(L76+K76+J76)</f>
        <v>8.6</v>
      </c>
      <c r="Q76" s="125">
        <f>P76*H76</f>
        <v>13476.243</v>
      </c>
      <c r="R76" s="47"/>
      <c r="S76" s="12">
        <f>H76*K76</f>
        <v>3760.8119999999999</v>
      </c>
      <c r="T76"/>
      <c r="U76"/>
      <c r="V76"/>
      <c r="W76"/>
      <c r="X76"/>
      <c r="Y76"/>
      <c r="Z76"/>
      <c r="AA76"/>
      <c r="AB76"/>
      <c r="AC76"/>
      <c r="AD76"/>
    </row>
    <row r="77" spans="1:78" x14ac:dyDescent="0.2">
      <c r="A77" s="54">
        <f>IF(F77&lt;&gt;"",1+MAX($A$6:A76),"")</f>
        <v>18</v>
      </c>
      <c r="B77" s="206" t="s">
        <v>64</v>
      </c>
      <c r="C77" s="206"/>
      <c r="D77" s="228"/>
      <c r="E77" s="199" t="s">
        <v>129</v>
      </c>
      <c r="F77" s="120">
        <v>680</v>
      </c>
      <c r="G77" s="22">
        <v>0.1</v>
      </c>
      <c r="H77" s="67">
        <f>F77*(1+G77)</f>
        <v>748.00000000000011</v>
      </c>
      <c r="I77" s="112" t="s">
        <v>23</v>
      </c>
      <c r="J77" s="218">
        <v>3.6</v>
      </c>
      <c r="K77" s="218">
        <v>1.9</v>
      </c>
      <c r="L77" s="219">
        <v>0</v>
      </c>
      <c r="M77" s="123">
        <f>(J77*H77)</f>
        <v>2692.8000000000006</v>
      </c>
      <c r="N77" s="123">
        <f>K77*H77</f>
        <v>1421.2</v>
      </c>
      <c r="O77" s="123">
        <f>L77*H77</f>
        <v>0</v>
      </c>
      <c r="P77" s="124">
        <f>(L77+K77+J77)</f>
        <v>5.5</v>
      </c>
      <c r="Q77" s="125">
        <f>P77*H77</f>
        <v>4114.0000000000009</v>
      </c>
      <c r="R77" s="47"/>
      <c r="S77" s="12">
        <f>H77*K77</f>
        <v>1421.2</v>
      </c>
      <c r="T77"/>
      <c r="U77"/>
      <c r="V77"/>
      <c r="W77"/>
      <c r="X77"/>
      <c r="Y77"/>
      <c r="Z77"/>
      <c r="AA77"/>
      <c r="AB77"/>
      <c r="AC77"/>
      <c r="AD77"/>
    </row>
    <row r="78" spans="1:78" ht="16.5" thickBot="1" x14ac:dyDescent="0.25">
      <c r="A78" s="54" t="str">
        <f>IF(F78&lt;&gt;"",1+MAX($A$6:A77),"")</f>
        <v/>
      </c>
      <c r="B78" s="14"/>
      <c r="C78" s="2"/>
      <c r="D78" s="73"/>
      <c r="E78" s="187"/>
      <c r="F78" s="207"/>
      <c r="G78" s="51"/>
      <c r="H78" s="68"/>
      <c r="I78" s="50"/>
      <c r="J78" s="220"/>
      <c r="K78" s="220"/>
      <c r="L78" s="220"/>
      <c r="M78" s="49"/>
      <c r="N78" s="49"/>
      <c r="O78" s="49"/>
      <c r="P78" s="48"/>
      <c r="Q78" s="75"/>
      <c r="R78" s="47"/>
      <c r="S78" s="12"/>
      <c r="T78"/>
      <c r="U78"/>
      <c r="V78"/>
      <c r="W78"/>
      <c r="X78"/>
      <c r="Y78"/>
      <c r="Z78"/>
      <c r="AA78"/>
      <c r="AB78"/>
      <c r="AC78"/>
      <c r="AD78"/>
    </row>
    <row r="79" spans="1:78" ht="16.5" thickBot="1" x14ac:dyDescent="0.25">
      <c r="A79" s="54" t="str">
        <f>IF(F79&lt;&gt;"",1+MAX($A$6:A78),"")</f>
        <v/>
      </c>
      <c r="B79" s="14"/>
      <c r="C79" s="74"/>
      <c r="D79" s="73"/>
      <c r="E79" s="72" t="s">
        <v>86</v>
      </c>
      <c r="F79" s="64"/>
      <c r="G79" s="71"/>
      <c r="H79" s="64"/>
      <c r="I79" s="19"/>
      <c r="J79" s="221"/>
      <c r="K79" s="221"/>
      <c r="L79" s="221"/>
      <c r="M79" s="15">
        <f>SUM(M74:M78)</f>
        <v>76016.216466666665</v>
      </c>
      <c r="N79" s="16">
        <f>SUM(N74:N78)</f>
        <v>108767.70960000002</v>
      </c>
      <c r="O79" s="17">
        <f>SUM(O74:O78)</f>
        <v>0</v>
      </c>
      <c r="P79" s="70"/>
      <c r="Q79" s="69"/>
      <c r="R79" s="46">
        <f>SUM(Q74:Q78)</f>
        <v>184783.92606666667</v>
      </c>
      <c r="S79" s="12"/>
      <c r="T79" s="23">
        <f>M79+N79+O79-R79</f>
        <v>0</v>
      </c>
      <c r="U79"/>
      <c r="V79"/>
      <c r="W79"/>
      <c r="X79"/>
      <c r="Y79"/>
      <c r="Z79"/>
      <c r="AA79"/>
      <c r="AB79"/>
      <c r="AC79"/>
      <c r="AD79"/>
    </row>
    <row r="80" spans="1:78" s="24" customFormat="1" ht="16.5" thickBot="1" x14ac:dyDescent="0.25">
      <c r="A80" s="54" t="str">
        <f>IF(F80&lt;&gt;"",1+MAX($A$6:A79),"")</f>
        <v/>
      </c>
      <c r="B80" s="4"/>
      <c r="C80" s="2"/>
      <c r="D80" s="66"/>
      <c r="E80" s="5"/>
      <c r="F80" s="65"/>
      <c r="G80" s="26"/>
      <c r="H80" s="65"/>
      <c r="I80" s="27"/>
      <c r="J80" s="222"/>
      <c r="K80" s="223"/>
      <c r="L80" s="223"/>
      <c r="M80" s="28"/>
      <c r="N80" s="28"/>
      <c r="O80" s="28"/>
      <c r="P80" s="28"/>
      <c r="Q80" s="30"/>
      <c r="R80" s="29"/>
      <c r="S80" s="12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</row>
    <row r="81" spans="1:78" ht="19.5" thickBot="1" x14ac:dyDescent="0.25">
      <c r="A81" s="54" t="str">
        <f>IF(F81&lt;&gt;"",1+MAX($A$6:A80),"")</f>
        <v/>
      </c>
      <c r="B81" s="198" t="s">
        <v>196</v>
      </c>
      <c r="C81" s="81"/>
      <c r="D81" s="81"/>
      <c r="E81" s="78" t="s">
        <v>87</v>
      </c>
      <c r="F81" s="80"/>
      <c r="G81" s="80"/>
      <c r="H81" s="78"/>
      <c r="I81" s="78"/>
      <c r="J81" s="224"/>
      <c r="K81" s="224"/>
      <c r="L81" s="224"/>
      <c r="M81" s="78"/>
      <c r="N81" s="78"/>
      <c r="O81" s="78"/>
      <c r="P81" s="79"/>
      <c r="Q81" s="78"/>
      <c r="R81" s="77"/>
      <c r="S81" s="77"/>
      <c r="T81" s="76"/>
      <c r="U81" s="76"/>
      <c r="V81" s="76"/>
      <c r="W81" s="76"/>
      <c r="X81" s="76"/>
      <c r="Y81"/>
      <c r="Z81"/>
      <c r="AA81"/>
      <c r="AB81"/>
      <c r="AC81"/>
      <c r="AD81"/>
    </row>
    <row r="82" spans="1:78" ht="31.5" x14ac:dyDescent="0.2">
      <c r="A82" s="54">
        <f>IF(F82&lt;&gt;"",1+MAX($A$6:A81),"")</f>
        <v>19</v>
      </c>
      <c r="B82" s="206" t="s">
        <v>64</v>
      </c>
      <c r="C82" s="206" t="s">
        <v>218</v>
      </c>
      <c r="D82" s="197">
        <f>H82*0.8/3</f>
        <v>5.1496296296296302</v>
      </c>
      <c r="E82" s="199" t="s">
        <v>139</v>
      </c>
      <c r="F82" s="120">
        <f>158/9</f>
        <v>17.555555555555557</v>
      </c>
      <c r="G82" s="22">
        <v>0.1</v>
      </c>
      <c r="H82" s="67">
        <f>F82*(1+G82)</f>
        <v>19.311111111111114</v>
      </c>
      <c r="I82" s="112" t="s">
        <v>81</v>
      </c>
      <c r="J82" s="218">
        <f>D82*55/H82+9.5</f>
        <v>24.166666666666664</v>
      </c>
      <c r="K82" s="218">
        <f>D82*165/H82</f>
        <v>44</v>
      </c>
      <c r="L82" s="219">
        <v>0</v>
      </c>
      <c r="M82" s="123">
        <f>(J82*H82)</f>
        <v>466.68518518518522</v>
      </c>
      <c r="N82" s="123">
        <f>K82*H82</f>
        <v>849.68888888888898</v>
      </c>
      <c r="O82" s="123">
        <f>L82*H82</f>
        <v>0</v>
      </c>
      <c r="P82" s="124">
        <f>(L82+K82+J82)</f>
        <v>68.166666666666657</v>
      </c>
      <c r="Q82" s="125">
        <f>P82*H82</f>
        <v>1316.3740740740741</v>
      </c>
      <c r="R82" s="47"/>
      <c r="S82" s="12">
        <f>H82*K82</f>
        <v>849.68888888888898</v>
      </c>
      <c r="T82"/>
      <c r="U82"/>
      <c r="V82"/>
      <c r="W82"/>
      <c r="X82"/>
      <c r="Y82"/>
      <c r="Z82"/>
      <c r="AA82"/>
      <c r="AB82"/>
      <c r="AC82"/>
      <c r="AD82"/>
    </row>
    <row r="83" spans="1:78" x14ac:dyDescent="0.2">
      <c r="A83" s="54">
        <f>IF(F83&lt;&gt;"",1+MAX($A$6:A82),"")</f>
        <v>20</v>
      </c>
      <c r="B83" s="206" t="s">
        <v>64</v>
      </c>
      <c r="C83" s="206" t="s">
        <v>133</v>
      </c>
      <c r="D83" s="228"/>
      <c r="E83" s="199" t="s">
        <v>131</v>
      </c>
      <c r="F83" s="120">
        <f>(10/1)*10*0.376*1.2*2*158/100</f>
        <v>142.57920000000001</v>
      </c>
      <c r="G83" s="22">
        <v>0.1</v>
      </c>
      <c r="H83" s="67">
        <f>F83*(1+G83)</f>
        <v>156.83712000000003</v>
      </c>
      <c r="I83" s="112" t="s">
        <v>132</v>
      </c>
      <c r="J83" s="218">
        <v>0.6</v>
      </c>
      <c r="K83" s="218">
        <v>0.7</v>
      </c>
      <c r="L83" s="219">
        <v>0</v>
      </c>
      <c r="M83" s="123">
        <f>(J83*H83)</f>
        <v>94.102272000000013</v>
      </c>
      <c r="N83" s="123">
        <f>K83*H83</f>
        <v>109.78598400000001</v>
      </c>
      <c r="O83" s="123">
        <f>L83*H83</f>
        <v>0</v>
      </c>
      <c r="P83" s="124">
        <f>(L83+K83+J83)</f>
        <v>1.2999999999999998</v>
      </c>
      <c r="Q83" s="125">
        <f>P83*H83</f>
        <v>203.88825600000001</v>
      </c>
      <c r="R83" s="47"/>
      <c r="S83" s="12">
        <f>H83*K83</f>
        <v>109.78598400000001</v>
      </c>
      <c r="T83"/>
      <c r="U83"/>
      <c r="V83"/>
      <c r="W83"/>
      <c r="X83"/>
      <c r="Y83"/>
      <c r="Z83"/>
      <c r="AA83"/>
      <c r="AB83"/>
      <c r="AC83"/>
      <c r="AD83"/>
    </row>
    <row r="84" spans="1:78" x14ac:dyDescent="0.2">
      <c r="A84" s="54">
        <f>IF(F84&lt;&gt;"",1+MAX($A$6:A83),"")</f>
        <v>21</v>
      </c>
      <c r="B84" s="206" t="s">
        <v>64</v>
      </c>
      <c r="C84" s="206" t="s">
        <v>133</v>
      </c>
      <c r="D84" s="228"/>
      <c r="E84" s="199" t="s">
        <v>130</v>
      </c>
      <c r="F84" s="120">
        <v>16</v>
      </c>
      <c r="G84" s="22">
        <v>0.1</v>
      </c>
      <c r="H84" s="67">
        <f>F84*(1+G84)</f>
        <v>17.600000000000001</v>
      </c>
      <c r="I84" s="112" t="s">
        <v>23</v>
      </c>
      <c r="J84" s="218">
        <v>1.8</v>
      </c>
      <c r="K84" s="218">
        <v>1.6</v>
      </c>
      <c r="L84" s="219">
        <v>0</v>
      </c>
      <c r="M84" s="123">
        <f>(J84*H84)</f>
        <v>31.680000000000003</v>
      </c>
      <c r="N84" s="123">
        <f>K84*H84</f>
        <v>28.160000000000004</v>
      </c>
      <c r="O84" s="123">
        <f>L84*H84</f>
        <v>0</v>
      </c>
      <c r="P84" s="124">
        <f>(L84+K84+J84)</f>
        <v>3.4000000000000004</v>
      </c>
      <c r="Q84" s="125">
        <f>P84*H84</f>
        <v>59.840000000000011</v>
      </c>
      <c r="R84" s="47"/>
      <c r="S84" s="12">
        <f>H84*K84</f>
        <v>28.160000000000004</v>
      </c>
      <c r="T84"/>
      <c r="U84"/>
      <c r="V84"/>
      <c r="W84"/>
      <c r="X84"/>
      <c r="Y84"/>
      <c r="Z84"/>
      <c r="AA84"/>
      <c r="AB84"/>
      <c r="AC84"/>
      <c r="AD84"/>
    </row>
    <row r="85" spans="1:78" x14ac:dyDescent="0.2">
      <c r="A85" s="54">
        <f>IF(F85&lt;&gt;"",1+MAX($A$6:A84),"")</f>
        <v>22</v>
      </c>
      <c r="B85" s="206" t="s">
        <v>64</v>
      </c>
      <c r="C85" s="206"/>
      <c r="D85" s="228"/>
      <c r="E85" s="199" t="s">
        <v>129</v>
      </c>
      <c r="F85" s="120">
        <v>51</v>
      </c>
      <c r="G85" s="22">
        <v>0.1</v>
      </c>
      <c r="H85" s="67">
        <f>F85*(1+G85)</f>
        <v>56.1</v>
      </c>
      <c r="I85" s="112" t="s">
        <v>23</v>
      </c>
      <c r="J85" s="218">
        <v>3.6</v>
      </c>
      <c r="K85" s="218">
        <v>1.9</v>
      </c>
      <c r="L85" s="219">
        <v>0</v>
      </c>
      <c r="M85" s="123">
        <f>(J85*H85)</f>
        <v>201.96</v>
      </c>
      <c r="N85" s="123">
        <f>K85*H85</f>
        <v>106.59</v>
      </c>
      <c r="O85" s="123">
        <f>L85*H85</f>
        <v>0</v>
      </c>
      <c r="P85" s="124">
        <f>(L85+K85+J85)</f>
        <v>5.5</v>
      </c>
      <c r="Q85" s="125">
        <f>P85*H85</f>
        <v>308.55</v>
      </c>
      <c r="R85" s="47"/>
      <c r="S85" s="12">
        <f>H85*K85</f>
        <v>106.59</v>
      </c>
      <c r="T85"/>
      <c r="U85"/>
      <c r="V85"/>
      <c r="W85"/>
      <c r="X85"/>
      <c r="Y85"/>
      <c r="Z85"/>
      <c r="AA85"/>
      <c r="AB85"/>
      <c r="AC85"/>
      <c r="AD85"/>
    </row>
    <row r="86" spans="1:78" ht="16.5" thickBot="1" x14ac:dyDescent="0.25">
      <c r="A86" s="54" t="str">
        <f>IF(F86&lt;&gt;"",1+MAX($A$6:A85),"")</f>
        <v/>
      </c>
      <c r="B86" s="14"/>
      <c r="C86" s="2"/>
      <c r="D86" s="73"/>
      <c r="E86" s="187"/>
      <c r="F86" s="207"/>
      <c r="G86" s="51"/>
      <c r="H86" s="68"/>
      <c r="I86" s="50"/>
      <c r="J86" s="220"/>
      <c r="K86" s="220"/>
      <c r="L86" s="220"/>
      <c r="M86" s="49"/>
      <c r="N86" s="49"/>
      <c r="O86" s="49"/>
      <c r="P86" s="48"/>
      <c r="Q86" s="75"/>
      <c r="R86" s="47"/>
      <c r="S86" s="12"/>
      <c r="T86"/>
      <c r="U86"/>
      <c r="V86"/>
      <c r="W86"/>
      <c r="X86"/>
      <c r="Y86"/>
      <c r="Z86"/>
      <c r="AA86"/>
      <c r="AB86"/>
      <c r="AC86"/>
      <c r="AD86"/>
    </row>
    <row r="87" spans="1:78" ht="16.5" thickBot="1" x14ac:dyDescent="0.25">
      <c r="A87" s="54" t="str">
        <f>IF(F87&lt;&gt;"",1+MAX($A$6:A86),"")</f>
        <v/>
      </c>
      <c r="B87" s="14"/>
      <c r="C87" s="74"/>
      <c r="D87" s="73"/>
      <c r="E87" s="72" t="s">
        <v>88</v>
      </c>
      <c r="F87" s="64"/>
      <c r="G87" s="71"/>
      <c r="H87" s="64"/>
      <c r="I87" s="19"/>
      <c r="J87" s="221"/>
      <c r="K87" s="221"/>
      <c r="L87" s="221"/>
      <c r="M87" s="15">
        <f>SUM(M82:M86)</f>
        <v>794.42745718518518</v>
      </c>
      <c r="N87" s="16">
        <f>SUM(N82:N86)</f>
        <v>1094.224872888889</v>
      </c>
      <c r="O87" s="17">
        <f>SUM(O82:O86)</f>
        <v>0</v>
      </c>
      <c r="P87" s="70"/>
      <c r="Q87" s="69"/>
      <c r="R87" s="46">
        <f>SUM(Q81:Q86)</f>
        <v>1888.6523300740739</v>
      </c>
      <c r="S87" s="12"/>
      <c r="T87" s="23">
        <f>M87+N87+O87-R87</f>
        <v>0</v>
      </c>
      <c r="U87"/>
      <c r="V87"/>
      <c r="W87"/>
      <c r="X87"/>
      <c r="Y87"/>
      <c r="Z87"/>
      <c r="AA87"/>
      <c r="AB87"/>
      <c r="AC87"/>
      <c r="AD87"/>
    </row>
    <row r="88" spans="1:78" s="24" customFormat="1" ht="16.5" thickBot="1" x14ac:dyDescent="0.25">
      <c r="A88" s="54" t="str">
        <f>IF(F88&lt;&gt;"",1+MAX($A$6:A87),"")</f>
        <v/>
      </c>
      <c r="B88" s="4"/>
      <c r="C88" s="2"/>
      <c r="D88" s="66"/>
      <c r="E88" s="5"/>
      <c r="F88" s="65"/>
      <c r="G88" s="26"/>
      <c r="H88" s="65"/>
      <c r="I88" s="27"/>
      <c r="J88" s="222"/>
      <c r="K88" s="223"/>
      <c r="L88" s="223"/>
      <c r="M88" s="28"/>
      <c r="N88" s="28"/>
      <c r="O88" s="28"/>
      <c r="P88" s="28"/>
      <c r="Q88" s="30"/>
      <c r="R88" s="29"/>
      <c r="S88" s="12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</row>
    <row r="89" spans="1:78" ht="19.5" thickBot="1" x14ac:dyDescent="0.25">
      <c r="A89" s="54" t="str">
        <f>IF(F89&lt;&gt;"",1+MAX($A$6:A88),"")</f>
        <v/>
      </c>
      <c r="B89" s="198" t="s">
        <v>197</v>
      </c>
      <c r="C89" s="81"/>
      <c r="D89" s="81"/>
      <c r="E89" s="78" t="s">
        <v>89</v>
      </c>
      <c r="F89" s="80"/>
      <c r="G89" s="80"/>
      <c r="H89" s="78"/>
      <c r="I89" s="78"/>
      <c r="J89" s="224"/>
      <c r="K89" s="224"/>
      <c r="L89" s="224"/>
      <c r="M89" s="78"/>
      <c r="N89" s="78"/>
      <c r="O89" s="78"/>
      <c r="P89" s="79"/>
      <c r="Q89" s="78"/>
      <c r="R89" s="77"/>
      <c r="S89" s="77"/>
      <c r="T89" s="76"/>
      <c r="U89" s="76"/>
      <c r="V89" s="76"/>
      <c r="W89" s="76"/>
      <c r="X89" s="76"/>
      <c r="Y89"/>
      <c r="Z89"/>
      <c r="AA89"/>
      <c r="AB89"/>
      <c r="AC89"/>
      <c r="AD89"/>
    </row>
    <row r="90" spans="1:78" ht="31.5" x14ac:dyDescent="0.2">
      <c r="A90" s="54">
        <f>IF(F90&lt;&gt;"",1+MAX($A$6:A89),"")</f>
        <v>23</v>
      </c>
      <c r="B90" s="206" t="s">
        <v>64</v>
      </c>
      <c r="C90" s="206" t="s">
        <v>218</v>
      </c>
      <c r="D90" s="197"/>
      <c r="E90" s="199" t="s">
        <v>176</v>
      </c>
      <c r="F90" s="120">
        <v>702</v>
      </c>
      <c r="G90" s="22">
        <v>0.1</v>
      </c>
      <c r="H90" s="67">
        <f>F90*(1+G90)</f>
        <v>772.2</v>
      </c>
      <c r="I90" s="112" t="s">
        <v>23</v>
      </c>
      <c r="J90" s="218">
        <v>1.8</v>
      </c>
      <c r="K90" s="218">
        <v>1.4</v>
      </c>
      <c r="L90" s="219">
        <v>0</v>
      </c>
      <c r="M90" s="123">
        <f>(J90*H90)</f>
        <v>1389.96</v>
      </c>
      <c r="N90" s="123">
        <f>K90*H90</f>
        <v>1081.08</v>
      </c>
      <c r="O90" s="123">
        <f>L90*H90</f>
        <v>0</v>
      </c>
      <c r="P90" s="124">
        <f>(L90+K90+J90)</f>
        <v>3.2</v>
      </c>
      <c r="Q90" s="125">
        <f>P90*H90</f>
        <v>2471.0400000000004</v>
      </c>
      <c r="R90" s="47"/>
      <c r="S90" s="12">
        <f>H90*K90</f>
        <v>1081.08</v>
      </c>
      <c r="T90"/>
      <c r="U90"/>
      <c r="V90"/>
      <c r="W90"/>
      <c r="X90"/>
      <c r="Y90"/>
      <c r="Z90"/>
      <c r="AA90"/>
      <c r="AB90"/>
      <c r="AC90"/>
      <c r="AD90"/>
    </row>
    <row r="91" spans="1:78" ht="16.5" thickBot="1" x14ac:dyDescent="0.25">
      <c r="A91" s="54" t="str">
        <f>IF(F91&lt;&gt;"",1+MAX($A$6:A90),"")</f>
        <v/>
      </c>
      <c r="B91" s="14"/>
      <c r="C91" s="2"/>
      <c r="D91" s="73"/>
      <c r="E91" s="187"/>
      <c r="F91" s="207"/>
      <c r="G91" s="51"/>
      <c r="H91" s="68"/>
      <c r="I91" s="50"/>
      <c r="J91" s="220"/>
      <c r="K91" s="220"/>
      <c r="L91" s="220"/>
      <c r="M91" s="49"/>
      <c r="N91" s="49"/>
      <c r="O91" s="49"/>
      <c r="P91" s="48"/>
      <c r="Q91" s="75"/>
      <c r="R91" s="47"/>
      <c r="S91" s="12"/>
      <c r="T91"/>
      <c r="U91"/>
      <c r="V91"/>
      <c r="W91"/>
      <c r="X91"/>
      <c r="Y91"/>
      <c r="Z91"/>
      <c r="AA91"/>
      <c r="AB91"/>
      <c r="AC91"/>
      <c r="AD91"/>
    </row>
    <row r="92" spans="1:78" ht="16.5" thickBot="1" x14ac:dyDescent="0.25">
      <c r="A92" s="54" t="str">
        <f>IF(F92&lt;&gt;"",1+MAX($A$6:A91),"")</f>
        <v/>
      </c>
      <c r="B92" s="14"/>
      <c r="C92" s="74"/>
      <c r="D92" s="73"/>
      <c r="E92" s="72" t="s">
        <v>90</v>
      </c>
      <c r="F92" s="64"/>
      <c r="G92" s="71"/>
      <c r="H92" s="64"/>
      <c r="I92" s="19"/>
      <c r="J92" s="221"/>
      <c r="K92" s="221"/>
      <c r="L92" s="221"/>
      <c r="M92" s="15">
        <f>SUM(M90:M91)</f>
        <v>1389.96</v>
      </c>
      <c r="N92" s="16">
        <f>SUM(N90:N91)</f>
        <v>1081.08</v>
      </c>
      <c r="O92" s="17">
        <f>SUM(O90:O91)</f>
        <v>0</v>
      </c>
      <c r="P92" s="70"/>
      <c r="Q92" s="69"/>
      <c r="R92" s="46">
        <f>SUM(Q90:Q91)</f>
        <v>2471.0400000000004</v>
      </c>
      <c r="S92" s="12"/>
      <c r="T92" s="23">
        <f>M92+N92+O92-R92</f>
        <v>0</v>
      </c>
      <c r="U92"/>
      <c r="V92"/>
      <c r="W92"/>
      <c r="X92"/>
      <c r="Y92"/>
      <c r="Z92"/>
      <c r="AA92"/>
      <c r="AB92"/>
      <c r="AC92"/>
      <c r="AD92"/>
    </row>
    <row r="93" spans="1:78" s="24" customFormat="1" ht="16.5" thickBot="1" x14ac:dyDescent="0.25">
      <c r="A93" s="54" t="str">
        <f>IF(F93&lt;&gt;"",1+MAX($A$6:A92),"")</f>
        <v/>
      </c>
      <c r="B93" s="4"/>
      <c r="C93" s="2"/>
      <c r="D93" s="66"/>
      <c r="E93" s="5"/>
      <c r="F93" s="65"/>
      <c r="G93" s="26"/>
      <c r="H93" s="65"/>
      <c r="I93" s="27"/>
      <c r="J93" s="222"/>
      <c r="K93" s="223"/>
      <c r="L93" s="223"/>
      <c r="M93" s="28"/>
      <c r="N93" s="28"/>
      <c r="O93" s="28"/>
      <c r="P93" s="28"/>
      <c r="Q93" s="30"/>
      <c r="R93" s="29"/>
      <c r="S93" s="12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</row>
    <row r="94" spans="1:78" ht="19.5" thickBot="1" x14ac:dyDescent="0.25">
      <c r="A94" s="54" t="str">
        <f>IF(F94&lt;&gt;"",1+MAX($A$6:A93),"")</f>
        <v/>
      </c>
      <c r="B94" s="198" t="s">
        <v>198</v>
      </c>
      <c r="C94" s="81"/>
      <c r="D94" s="81"/>
      <c r="E94" s="78" t="s">
        <v>91</v>
      </c>
      <c r="F94" s="80"/>
      <c r="G94" s="80"/>
      <c r="H94" s="78"/>
      <c r="I94" s="78"/>
      <c r="J94" s="224"/>
      <c r="K94" s="224"/>
      <c r="L94" s="224"/>
      <c r="M94" s="78"/>
      <c r="N94" s="78"/>
      <c r="O94" s="78"/>
      <c r="P94" s="79"/>
      <c r="Q94" s="78"/>
      <c r="R94" s="77"/>
      <c r="S94" s="77"/>
      <c r="T94" s="76"/>
      <c r="U94" s="76"/>
      <c r="V94" s="76"/>
      <c r="W94" s="76"/>
      <c r="X94" s="76"/>
      <c r="Y94"/>
      <c r="Z94"/>
      <c r="AA94"/>
      <c r="AB94"/>
      <c r="AC94"/>
      <c r="AD94"/>
    </row>
    <row r="95" spans="1:78" x14ac:dyDescent="0.2">
      <c r="A95" s="54">
        <f>IF(F95&lt;&gt;"",1+MAX($A$6:A94),"")</f>
        <v>24</v>
      </c>
      <c r="B95" s="206" t="s">
        <v>94</v>
      </c>
      <c r="C95" s="206" t="s">
        <v>53</v>
      </c>
      <c r="D95" s="197"/>
      <c r="E95" s="199" t="s">
        <v>92</v>
      </c>
      <c r="F95" s="120">
        <v>9</v>
      </c>
      <c r="G95" s="22">
        <v>0</v>
      </c>
      <c r="H95" s="67">
        <f>F95*(1+G95)</f>
        <v>9</v>
      </c>
      <c r="I95" s="112" t="s">
        <v>22</v>
      </c>
      <c r="J95" s="218">
        <v>35</v>
      </c>
      <c r="K95" s="218">
        <v>15</v>
      </c>
      <c r="L95" s="219">
        <v>0</v>
      </c>
      <c r="M95" s="123">
        <f>(J95*H95)</f>
        <v>315</v>
      </c>
      <c r="N95" s="123">
        <f>K95*H95</f>
        <v>135</v>
      </c>
      <c r="O95" s="123">
        <f>L95*H95</f>
        <v>0</v>
      </c>
      <c r="P95" s="124">
        <f>(L95+K95+J95)</f>
        <v>50</v>
      </c>
      <c r="Q95" s="125">
        <f>P95*H95</f>
        <v>450</v>
      </c>
      <c r="R95" s="47"/>
      <c r="S95" s="12">
        <f>H95*K95</f>
        <v>135</v>
      </c>
      <c r="T95"/>
      <c r="U95"/>
      <c r="V95"/>
      <c r="W95"/>
      <c r="X95"/>
      <c r="Y95"/>
      <c r="Z95"/>
      <c r="AA95"/>
      <c r="AB95"/>
      <c r="AC95"/>
      <c r="AD95"/>
    </row>
    <row r="96" spans="1:78" ht="16.5" thickBot="1" x14ac:dyDescent="0.25">
      <c r="A96" s="54" t="str">
        <f>IF(F96&lt;&gt;"",1+MAX($A$6:A95),"")</f>
        <v/>
      </c>
      <c r="B96" s="14"/>
      <c r="C96" s="2"/>
      <c r="D96" s="73"/>
      <c r="E96" s="187"/>
      <c r="F96" s="207"/>
      <c r="G96" s="51"/>
      <c r="H96" s="68"/>
      <c r="I96" s="50"/>
      <c r="J96" s="220"/>
      <c r="K96" s="220"/>
      <c r="L96" s="220"/>
      <c r="M96" s="49"/>
      <c r="N96" s="49"/>
      <c r="O96" s="49"/>
      <c r="P96" s="48"/>
      <c r="Q96" s="75"/>
      <c r="R96" s="47"/>
      <c r="S96" s="12"/>
      <c r="T96"/>
      <c r="U96"/>
      <c r="V96"/>
      <c r="W96"/>
      <c r="X96"/>
      <c r="Y96"/>
      <c r="Z96"/>
      <c r="AA96"/>
      <c r="AB96"/>
      <c r="AC96"/>
      <c r="AD96"/>
    </row>
    <row r="97" spans="1:78" ht="16.5" thickBot="1" x14ac:dyDescent="0.25">
      <c r="A97" s="54" t="str">
        <f>IF(F97&lt;&gt;"",1+MAX($A$6:A96),"")</f>
        <v/>
      </c>
      <c r="B97" s="14"/>
      <c r="C97" s="74"/>
      <c r="D97" s="73"/>
      <c r="E97" s="72" t="s">
        <v>93</v>
      </c>
      <c r="F97" s="64"/>
      <c r="G97" s="71"/>
      <c r="H97" s="64"/>
      <c r="I97" s="19"/>
      <c r="J97" s="221"/>
      <c r="K97" s="221"/>
      <c r="L97" s="221"/>
      <c r="M97" s="15">
        <f>SUM(M95:M96)</f>
        <v>315</v>
      </c>
      <c r="N97" s="16">
        <f>SUM(N95:N96)</f>
        <v>135</v>
      </c>
      <c r="O97" s="17">
        <f>SUM(O95:O96)</f>
        <v>0</v>
      </c>
      <c r="P97" s="70"/>
      <c r="Q97" s="69"/>
      <c r="R97" s="46">
        <f>SUM(Q95:Q96)</f>
        <v>450</v>
      </c>
      <c r="S97" s="12"/>
      <c r="T97" s="23">
        <f>M97+N97+O97-R97</f>
        <v>0</v>
      </c>
      <c r="U97"/>
      <c r="V97"/>
      <c r="W97"/>
      <c r="X97"/>
      <c r="Y97"/>
      <c r="Z97"/>
      <c r="AA97"/>
      <c r="AB97"/>
      <c r="AC97"/>
      <c r="AD97"/>
    </row>
    <row r="98" spans="1:78" s="24" customFormat="1" ht="16.5" thickBot="1" x14ac:dyDescent="0.25">
      <c r="A98" s="54" t="str">
        <f>IF(F98&lt;&gt;"",1+MAX($A$6:A97),"")</f>
        <v/>
      </c>
      <c r="B98" s="4"/>
      <c r="C98" s="2"/>
      <c r="D98" s="66"/>
      <c r="E98" s="5"/>
      <c r="F98" s="65"/>
      <c r="G98" s="26"/>
      <c r="H98" s="65"/>
      <c r="I98" s="27"/>
      <c r="J98" s="222"/>
      <c r="K98" s="223"/>
      <c r="L98" s="223"/>
      <c r="M98" s="28"/>
      <c r="N98" s="28"/>
      <c r="O98" s="28"/>
      <c r="P98" s="28"/>
      <c r="Q98" s="30"/>
      <c r="R98" s="29"/>
      <c r="S98" s="12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</row>
    <row r="99" spans="1:78" ht="19.5" thickBot="1" x14ac:dyDescent="0.25">
      <c r="A99" s="54" t="str">
        <f>IF(F99&lt;&gt;"",1+MAX($A$6:A98),"")</f>
        <v/>
      </c>
      <c r="B99" s="198" t="s">
        <v>199</v>
      </c>
      <c r="C99" s="81"/>
      <c r="D99" s="81"/>
      <c r="E99" s="78" t="s">
        <v>95</v>
      </c>
      <c r="F99" s="80"/>
      <c r="G99" s="80"/>
      <c r="H99" s="78"/>
      <c r="I99" s="78"/>
      <c r="J99" s="224"/>
      <c r="K99" s="224"/>
      <c r="L99" s="224"/>
      <c r="M99" s="78"/>
      <c r="N99" s="78"/>
      <c r="O99" s="78"/>
      <c r="P99" s="79"/>
      <c r="Q99" s="78"/>
      <c r="R99" s="77"/>
      <c r="S99" s="77"/>
      <c r="T99" s="76"/>
      <c r="U99" s="76"/>
      <c r="V99" s="76"/>
      <c r="W99" s="76"/>
      <c r="X99" s="76"/>
      <c r="Y99"/>
      <c r="Z99"/>
      <c r="AA99"/>
      <c r="AB99"/>
      <c r="AC99"/>
      <c r="AD99"/>
    </row>
    <row r="100" spans="1:78" ht="47.25" x14ac:dyDescent="0.2">
      <c r="A100" s="54">
        <f>IF(F100&lt;&gt;"",1+MAX($A$6:A99),"")</f>
        <v>25</v>
      </c>
      <c r="B100" s="206" t="s">
        <v>64</v>
      </c>
      <c r="C100" s="206" t="s">
        <v>219</v>
      </c>
      <c r="D100" s="212"/>
      <c r="E100" s="199" t="s">
        <v>228</v>
      </c>
      <c r="F100" s="120">
        <f>(8863/9)-F105</f>
        <v>614.77777777777783</v>
      </c>
      <c r="G100" s="22">
        <v>0.1</v>
      </c>
      <c r="H100" s="67">
        <f>F100*(1+G100)</f>
        <v>676.2555555555557</v>
      </c>
      <c r="I100" s="112" t="s">
        <v>81</v>
      </c>
      <c r="J100" s="229">
        <v>0</v>
      </c>
      <c r="K100" s="229">
        <v>0</v>
      </c>
      <c r="L100" s="219">
        <v>0</v>
      </c>
      <c r="M100" s="123">
        <f>(J100*H100)</f>
        <v>0</v>
      </c>
      <c r="N100" s="123">
        <f>K100*H100</f>
        <v>0</v>
      </c>
      <c r="O100" s="123">
        <f>L100*H100</f>
        <v>0</v>
      </c>
      <c r="P100" s="124">
        <f>(L100+K100+J100)</f>
        <v>0</v>
      </c>
      <c r="Q100" s="125">
        <f>P100*H100</f>
        <v>0</v>
      </c>
      <c r="R100" s="47"/>
      <c r="S100" s="12">
        <f>H100*K100</f>
        <v>0</v>
      </c>
      <c r="T100"/>
      <c r="U100"/>
      <c r="V100"/>
      <c r="W100"/>
      <c r="X100"/>
      <c r="Y100"/>
      <c r="Z100"/>
      <c r="AA100"/>
      <c r="AB100"/>
      <c r="AC100"/>
      <c r="AD100"/>
    </row>
    <row r="101" spans="1:78" ht="16.5" thickBot="1" x14ac:dyDescent="0.25">
      <c r="A101" s="54" t="str">
        <f>IF(F101&lt;&gt;"",1+MAX($A$6:A100),"")</f>
        <v/>
      </c>
      <c r="B101" s="14"/>
      <c r="C101" s="2"/>
      <c r="D101" s="73"/>
      <c r="E101" s="187"/>
      <c r="F101" s="207"/>
      <c r="G101" s="51"/>
      <c r="H101" s="68"/>
      <c r="I101" s="50"/>
      <c r="J101" s="220"/>
      <c r="K101" s="220"/>
      <c r="L101" s="220"/>
      <c r="M101" s="49"/>
      <c r="N101" s="49"/>
      <c r="O101" s="49"/>
      <c r="P101" s="48"/>
      <c r="Q101" s="75"/>
      <c r="R101" s="47"/>
      <c r="S101" s="12"/>
      <c r="T101"/>
      <c r="U101"/>
      <c r="V101"/>
      <c r="W101"/>
      <c r="X101"/>
      <c r="Y101"/>
      <c r="Z101"/>
      <c r="AA101"/>
      <c r="AB101"/>
      <c r="AC101"/>
      <c r="AD101"/>
    </row>
    <row r="102" spans="1:78" ht="16.5" thickBot="1" x14ac:dyDescent="0.25">
      <c r="A102" s="54" t="str">
        <f>IF(F102&lt;&gt;"",1+MAX($A$6:A101),"")</f>
        <v/>
      </c>
      <c r="B102" s="14"/>
      <c r="C102" s="74"/>
      <c r="D102" s="73"/>
      <c r="E102" s="72" t="s">
        <v>99</v>
      </c>
      <c r="F102" s="64"/>
      <c r="G102" s="71"/>
      <c r="H102" s="64"/>
      <c r="I102" s="19"/>
      <c r="J102" s="221"/>
      <c r="K102" s="221"/>
      <c r="L102" s="221"/>
      <c r="M102" s="15">
        <f>SUM(M100:M101)</f>
        <v>0</v>
      </c>
      <c r="N102" s="16">
        <f>SUM(N100:N101)</f>
        <v>0</v>
      </c>
      <c r="O102" s="17">
        <f>SUM(O100:O101)</f>
        <v>0</v>
      </c>
      <c r="P102" s="70"/>
      <c r="Q102" s="69"/>
      <c r="R102" s="46">
        <f>SUM(Q100:Q101)</f>
        <v>0</v>
      </c>
      <c r="S102" s="12"/>
      <c r="T102" s="23">
        <f>M102+N102+O102-R102</f>
        <v>0</v>
      </c>
      <c r="U102"/>
      <c r="V102"/>
      <c r="W102"/>
      <c r="X102"/>
      <c r="Y102"/>
      <c r="Z102"/>
      <c r="AA102"/>
      <c r="AB102"/>
      <c r="AC102"/>
      <c r="AD102"/>
    </row>
    <row r="103" spans="1:78" s="24" customFormat="1" ht="16.5" thickBot="1" x14ac:dyDescent="0.25">
      <c r="A103" s="54" t="str">
        <f>IF(F103&lt;&gt;"",1+MAX($A$6:A102),"")</f>
        <v/>
      </c>
      <c r="B103" s="4"/>
      <c r="C103" s="2"/>
      <c r="D103" s="66"/>
      <c r="E103" s="5"/>
      <c r="F103" s="65"/>
      <c r="G103" s="26"/>
      <c r="H103" s="65"/>
      <c r="I103" s="27"/>
      <c r="J103" s="222"/>
      <c r="K103" s="223"/>
      <c r="L103" s="223"/>
      <c r="M103" s="28"/>
      <c r="N103" s="28"/>
      <c r="O103" s="28"/>
      <c r="P103" s="28"/>
      <c r="Q103" s="30"/>
      <c r="R103" s="29"/>
      <c r="S103" s="12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</row>
    <row r="104" spans="1:78" ht="19.5" thickBot="1" x14ac:dyDescent="0.25">
      <c r="A104" s="54" t="str">
        <f>IF(F104&lt;&gt;"",1+MAX($A$6:A103),"")</f>
        <v/>
      </c>
      <c r="B104" s="198" t="s">
        <v>200</v>
      </c>
      <c r="C104" s="81"/>
      <c r="D104" s="81"/>
      <c r="E104" s="78" t="s">
        <v>97</v>
      </c>
      <c r="F104" s="80"/>
      <c r="G104" s="80"/>
      <c r="H104" s="78"/>
      <c r="I104" s="78"/>
      <c r="J104" s="224"/>
      <c r="K104" s="224"/>
      <c r="L104" s="224"/>
      <c r="M104" s="78"/>
      <c r="N104" s="78"/>
      <c r="O104" s="78"/>
      <c r="P104" s="79"/>
      <c r="Q104" s="78"/>
      <c r="R104" s="77"/>
      <c r="S104" s="77"/>
      <c r="T104" s="76"/>
      <c r="U104" s="76"/>
      <c r="V104" s="76"/>
      <c r="W104" s="76"/>
      <c r="X104" s="76"/>
      <c r="Y104"/>
      <c r="Z104"/>
      <c r="AA104"/>
      <c r="AB104"/>
      <c r="AC104"/>
      <c r="AD104"/>
    </row>
    <row r="105" spans="1:78" ht="63" x14ac:dyDescent="0.2">
      <c r="A105" s="54">
        <f>IF(F105&lt;&gt;"",1+MAX($A$6:A104),"")</f>
        <v>26</v>
      </c>
      <c r="B105" s="206" t="s">
        <v>64</v>
      </c>
      <c r="C105" s="206" t="s">
        <v>220</v>
      </c>
      <c r="D105" s="197"/>
      <c r="E105" s="199" t="s">
        <v>227</v>
      </c>
      <c r="F105" s="120">
        <v>370</v>
      </c>
      <c r="G105" s="22">
        <v>0.1</v>
      </c>
      <c r="H105" s="67">
        <f>F105*(1+G105)</f>
        <v>407.00000000000006</v>
      </c>
      <c r="I105" s="112" t="s">
        <v>81</v>
      </c>
      <c r="J105" s="229">
        <v>0</v>
      </c>
      <c r="K105" s="229">
        <v>0</v>
      </c>
      <c r="L105" s="219">
        <v>0</v>
      </c>
      <c r="M105" s="123">
        <f>(J105*H105)</f>
        <v>0</v>
      </c>
      <c r="N105" s="123">
        <f>K105*H105</f>
        <v>0</v>
      </c>
      <c r="O105" s="123">
        <f>L105*H105</f>
        <v>0</v>
      </c>
      <c r="P105" s="124">
        <f>(L105+K105+J105)</f>
        <v>0</v>
      </c>
      <c r="Q105" s="125">
        <f>P105*H105</f>
        <v>0</v>
      </c>
      <c r="R105" s="47"/>
      <c r="S105" s="12">
        <f>H105*K105</f>
        <v>0</v>
      </c>
      <c r="T105"/>
      <c r="U105"/>
      <c r="V105"/>
      <c r="W105"/>
      <c r="X105"/>
      <c r="Y105"/>
      <c r="Z105"/>
      <c r="AA105"/>
      <c r="AB105"/>
      <c r="AC105"/>
      <c r="AD105"/>
    </row>
    <row r="106" spans="1:78" ht="16.5" thickBot="1" x14ac:dyDescent="0.25">
      <c r="A106" s="54" t="str">
        <f>IF(F106&lt;&gt;"",1+MAX($A$6:A105),"")</f>
        <v/>
      </c>
      <c r="B106" s="14"/>
      <c r="C106" s="2"/>
      <c r="D106" s="73"/>
      <c r="E106" s="187"/>
      <c r="F106" s="207"/>
      <c r="G106" s="51"/>
      <c r="H106" s="68"/>
      <c r="I106" s="50"/>
      <c r="J106" s="220"/>
      <c r="K106" s="220"/>
      <c r="L106" s="220"/>
      <c r="M106" s="49"/>
      <c r="N106" s="49"/>
      <c r="O106" s="49"/>
      <c r="P106" s="48"/>
      <c r="Q106" s="75"/>
      <c r="R106" s="47"/>
      <c r="S106" s="12"/>
      <c r="T106"/>
      <c r="U106"/>
      <c r="V106"/>
      <c r="W106"/>
      <c r="X106"/>
      <c r="Y106"/>
      <c r="Z106"/>
      <c r="AA106"/>
      <c r="AB106"/>
      <c r="AC106"/>
      <c r="AD106"/>
    </row>
    <row r="107" spans="1:78" ht="16.5" thickBot="1" x14ac:dyDescent="0.25">
      <c r="A107" s="54" t="str">
        <f>IF(F107&lt;&gt;"",1+MAX($A$6:A106),"")</f>
        <v/>
      </c>
      <c r="B107" s="14"/>
      <c r="C107" s="74"/>
      <c r="D107" s="73"/>
      <c r="E107" s="72" t="s">
        <v>98</v>
      </c>
      <c r="F107" s="64"/>
      <c r="G107" s="71"/>
      <c r="H107" s="64"/>
      <c r="I107" s="19"/>
      <c r="J107" s="221"/>
      <c r="K107" s="221"/>
      <c r="L107" s="221"/>
      <c r="M107" s="15">
        <f>SUM(M105:M106)</f>
        <v>0</v>
      </c>
      <c r="N107" s="16">
        <f>SUM(N105:N106)</f>
        <v>0</v>
      </c>
      <c r="O107" s="17">
        <f>SUM(O105:O106)</f>
        <v>0</v>
      </c>
      <c r="P107" s="70"/>
      <c r="Q107" s="69"/>
      <c r="R107" s="46">
        <f>SUM(Q105:Q106)</f>
        <v>0</v>
      </c>
      <c r="S107" s="12"/>
      <c r="T107" s="23">
        <f>M107+N107+O107-R107</f>
        <v>0</v>
      </c>
      <c r="U107"/>
      <c r="V107"/>
      <c r="W107"/>
      <c r="X107"/>
      <c r="Y107"/>
      <c r="Z107"/>
      <c r="AA107"/>
      <c r="AB107"/>
      <c r="AC107"/>
      <c r="AD107"/>
    </row>
    <row r="108" spans="1:78" s="24" customFormat="1" ht="16.5" thickBot="1" x14ac:dyDescent="0.25">
      <c r="A108" s="54" t="str">
        <f>IF(F108&lt;&gt;"",1+MAX($A$6:A107),"")</f>
        <v/>
      </c>
      <c r="B108" s="4"/>
      <c r="C108" s="2"/>
      <c r="D108" s="66"/>
      <c r="E108" s="5"/>
      <c r="F108" s="65"/>
      <c r="G108" s="26"/>
      <c r="H108" s="65"/>
      <c r="I108" s="27"/>
      <c r="J108" s="222"/>
      <c r="K108" s="223"/>
      <c r="L108" s="223"/>
      <c r="M108" s="28"/>
      <c r="N108" s="28"/>
      <c r="O108" s="28"/>
      <c r="P108" s="28"/>
      <c r="Q108" s="30"/>
      <c r="R108" s="29"/>
      <c r="S108" s="12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</row>
    <row r="109" spans="1:78" ht="19.5" thickBot="1" x14ac:dyDescent="0.25">
      <c r="A109" s="54" t="str">
        <f>IF(F109&lt;&gt;"",1+MAX($A$6:A108),"")</f>
        <v/>
      </c>
      <c r="B109" s="198" t="s">
        <v>201</v>
      </c>
      <c r="C109" s="81"/>
      <c r="D109" s="81"/>
      <c r="E109" s="78" t="s">
        <v>102</v>
      </c>
      <c r="F109" s="80"/>
      <c r="G109" s="80"/>
      <c r="H109" s="78"/>
      <c r="I109" s="78"/>
      <c r="J109" s="224"/>
      <c r="K109" s="224"/>
      <c r="L109" s="224"/>
      <c r="M109" s="78"/>
      <c r="N109" s="78"/>
      <c r="O109" s="78"/>
      <c r="P109" s="79"/>
      <c r="Q109" s="78"/>
      <c r="R109" s="77"/>
      <c r="S109" s="77"/>
      <c r="T109" s="76"/>
      <c r="U109" s="76"/>
      <c r="V109" s="76"/>
      <c r="W109" s="76"/>
      <c r="X109" s="76"/>
      <c r="Y109"/>
      <c r="Z109"/>
      <c r="AA109"/>
      <c r="AB109"/>
      <c r="AC109"/>
      <c r="AD109"/>
    </row>
    <row r="110" spans="1:78" ht="47.25" x14ac:dyDescent="0.2">
      <c r="A110" s="54">
        <f>IF(F110&lt;&gt;"",1+MAX($A$6:A109),"")</f>
        <v>27</v>
      </c>
      <c r="B110" s="206"/>
      <c r="C110" s="206"/>
      <c r="D110" s="213"/>
      <c r="E110" s="199" t="s">
        <v>214</v>
      </c>
      <c r="F110" s="120">
        <v>164</v>
      </c>
      <c r="G110" s="22">
        <v>0.1</v>
      </c>
      <c r="H110" s="67">
        <f>F110*(1+G110)</f>
        <v>180.4</v>
      </c>
      <c r="I110" s="112" t="s">
        <v>11</v>
      </c>
      <c r="J110" s="229">
        <v>0</v>
      </c>
      <c r="K110" s="229">
        <v>0</v>
      </c>
      <c r="L110" s="219">
        <v>0</v>
      </c>
      <c r="M110" s="123">
        <f>(J110*H110)</f>
        <v>0</v>
      </c>
      <c r="N110" s="123">
        <f>K110*H110</f>
        <v>0</v>
      </c>
      <c r="O110" s="123">
        <f>L110*H110</f>
        <v>0</v>
      </c>
      <c r="P110" s="124">
        <f>(L110+K110+J110)</f>
        <v>0</v>
      </c>
      <c r="Q110" s="125">
        <f>P110*H110</f>
        <v>0</v>
      </c>
      <c r="R110" s="47"/>
      <c r="S110" s="12">
        <f>H110*K110</f>
        <v>0</v>
      </c>
      <c r="T110"/>
      <c r="U110"/>
      <c r="V110"/>
      <c r="W110"/>
      <c r="X110"/>
      <c r="Y110"/>
      <c r="Z110"/>
      <c r="AA110"/>
      <c r="AB110"/>
      <c r="AC110"/>
      <c r="AD110"/>
    </row>
    <row r="111" spans="1:78" ht="16.5" thickBot="1" x14ac:dyDescent="0.25">
      <c r="A111" s="54" t="str">
        <f>IF(F111&lt;&gt;"",1+MAX($A$6:A110),"")</f>
        <v/>
      </c>
      <c r="B111" s="14"/>
      <c r="C111" s="2"/>
      <c r="D111" s="73"/>
      <c r="E111" s="186"/>
      <c r="F111" s="207"/>
      <c r="G111" s="51"/>
      <c r="H111" s="68"/>
      <c r="I111" s="50"/>
      <c r="J111" s="220"/>
      <c r="K111" s="220"/>
      <c r="L111" s="220"/>
      <c r="M111" s="49"/>
      <c r="N111" s="49"/>
      <c r="O111" s="49"/>
      <c r="P111" s="48"/>
      <c r="Q111" s="75"/>
      <c r="R111" s="47"/>
      <c r="S111" s="12"/>
      <c r="T111"/>
      <c r="U111"/>
      <c r="V111"/>
      <c r="W111"/>
      <c r="X111"/>
      <c r="Y111"/>
      <c r="Z111"/>
      <c r="AA111"/>
      <c r="AB111"/>
      <c r="AC111"/>
      <c r="AD111"/>
    </row>
    <row r="112" spans="1:78" ht="16.5" thickBot="1" x14ac:dyDescent="0.25">
      <c r="A112" s="54" t="str">
        <f>IF(F112&lt;&gt;"",1+MAX($A$6:A111),"")</f>
        <v/>
      </c>
      <c r="B112" s="14"/>
      <c r="C112" s="74"/>
      <c r="D112" s="73"/>
      <c r="E112" s="72" t="s">
        <v>103</v>
      </c>
      <c r="F112" s="64"/>
      <c r="G112" s="71"/>
      <c r="H112" s="64"/>
      <c r="I112" s="19"/>
      <c r="J112" s="221"/>
      <c r="K112" s="221"/>
      <c r="L112" s="221"/>
      <c r="M112" s="15">
        <f>SUM(M110:M111)</f>
        <v>0</v>
      </c>
      <c r="N112" s="16">
        <f>SUM(N110:N111)</f>
        <v>0</v>
      </c>
      <c r="O112" s="17">
        <f>SUM(O110:O111)</f>
        <v>0</v>
      </c>
      <c r="P112" s="70"/>
      <c r="Q112" s="69"/>
      <c r="R112" s="46">
        <f>SUM(Q110:Q111)</f>
        <v>0</v>
      </c>
      <c r="S112" s="12"/>
      <c r="T112" s="23">
        <f>M112+N112+O112-R112</f>
        <v>0</v>
      </c>
      <c r="U112"/>
      <c r="V112"/>
      <c r="W112"/>
      <c r="X112"/>
      <c r="Y112"/>
      <c r="Z112"/>
      <c r="AA112"/>
      <c r="AB112"/>
      <c r="AC112"/>
      <c r="AD112"/>
    </row>
    <row r="113" spans="1:78" s="24" customFormat="1" ht="16.5" thickBot="1" x14ac:dyDescent="0.25">
      <c r="A113" s="54" t="str">
        <f>IF(F113&lt;&gt;"",1+MAX($A$6:A112),"")</f>
        <v/>
      </c>
      <c r="B113" s="4"/>
      <c r="C113" s="2"/>
      <c r="D113" s="66"/>
      <c r="E113" s="5"/>
      <c r="F113" s="65"/>
      <c r="G113" s="26"/>
      <c r="H113" s="65"/>
      <c r="I113" s="27"/>
      <c r="J113" s="222"/>
      <c r="K113" s="223"/>
      <c r="L113" s="223"/>
      <c r="M113" s="28"/>
      <c r="N113" s="28"/>
      <c r="O113" s="28"/>
      <c r="P113" s="28"/>
      <c r="Q113" s="30"/>
      <c r="R113" s="29"/>
      <c r="S113" s="12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</row>
    <row r="114" spans="1:78" ht="19.5" thickBot="1" x14ac:dyDescent="0.25">
      <c r="A114" s="54" t="str">
        <f>IF(F114&lt;&gt;"",1+MAX($A$6:A113),"")</f>
        <v/>
      </c>
      <c r="B114" s="198" t="s">
        <v>202</v>
      </c>
      <c r="C114" s="81"/>
      <c r="D114" s="81"/>
      <c r="E114" s="78" t="s">
        <v>100</v>
      </c>
      <c r="F114" s="80"/>
      <c r="G114" s="80"/>
      <c r="H114" s="78"/>
      <c r="I114" s="78"/>
      <c r="J114" s="224"/>
      <c r="K114" s="224"/>
      <c r="L114" s="224"/>
      <c r="M114" s="78"/>
      <c r="N114" s="78"/>
      <c r="O114" s="78"/>
      <c r="P114" s="79"/>
      <c r="Q114" s="78"/>
      <c r="R114" s="77"/>
      <c r="S114" s="77"/>
      <c r="T114" s="76"/>
      <c r="U114" s="76"/>
      <c r="V114" s="76"/>
      <c r="W114" s="76"/>
      <c r="X114" s="76"/>
      <c r="Y114"/>
      <c r="Z114"/>
      <c r="AA114"/>
      <c r="AB114"/>
      <c r="AC114"/>
      <c r="AD114"/>
    </row>
    <row r="115" spans="1:78" ht="47.25" x14ac:dyDescent="0.2">
      <c r="A115" s="54">
        <f>IF(F115&lt;&gt;"",1+MAX($A$6:A114),"")</f>
        <v>28</v>
      </c>
      <c r="B115" s="206" t="s">
        <v>64</v>
      </c>
      <c r="C115" s="206" t="s">
        <v>53</v>
      </c>
      <c r="D115" s="197"/>
      <c r="E115" s="199" t="s">
        <v>229</v>
      </c>
      <c r="F115" s="120">
        <f>+F100</f>
        <v>614.77777777777783</v>
      </c>
      <c r="G115" s="22">
        <v>0.1</v>
      </c>
      <c r="H115" s="67">
        <f>F115*(1+G115)</f>
        <v>676.2555555555557</v>
      </c>
      <c r="I115" s="112" t="s">
        <v>81</v>
      </c>
      <c r="J115" s="229">
        <v>0</v>
      </c>
      <c r="K115" s="229">
        <v>0</v>
      </c>
      <c r="L115" s="219">
        <v>0</v>
      </c>
      <c r="M115" s="123">
        <f>(J115*H115)</f>
        <v>0</v>
      </c>
      <c r="N115" s="123">
        <f>K115*H115</f>
        <v>0</v>
      </c>
      <c r="O115" s="123">
        <f>L115*H115</f>
        <v>0</v>
      </c>
      <c r="P115" s="124">
        <f>(L115+K115+J115)</f>
        <v>0</v>
      </c>
      <c r="Q115" s="125">
        <f>P115*H115</f>
        <v>0</v>
      </c>
      <c r="R115" s="47"/>
      <c r="S115" s="12">
        <f>H115*K115</f>
        <v>0</v>
      </c>
      <c r="T115"/>
      <c r="U115"/>
      <c r="V115"/>
      <c r="W115"/>
      <c r="X115"/>
      <c r="Y115"/>
      <c r="Z115"/>
      <c r="AA115"/>
      <c r="AB115"/>
      <c r="AC115"/>
      <c r="AD115"/>
    </row>
    <row r="116" spans="1:78" ht="16.5" thickBot="1" x14ac:dyDescent="0.25">
      <c r="A116" s="54" t="str">
        <f>IF(F116&lt;&gt;"",1+MAX($A$6:A115),"")</f>
        <v/>
      </c>
      <c r="B116" s="14"/>
      <c r="C116" s="2"/>
      <c r="D116" s="73"/>
      <c r="E116" s="187"/>
      <c r="F116" s="207"/>
      <c r="G116" s="51"/>
      <c r="H116" s="68"/>
      <c r="I116" s="50"/>
      <c r="J116" s="220"/>
      <c r="K116" s="220"/>
      <c r="L116" s="220"/>
      <c r="M116" s="49"/>
      <c r="N116" s="49"/>
      <c r="O116" s="49"/>
      <c r="P116" s="48"/>
      <c r="Q116" s="75"/>
      <c r="R116" s="47"/>
      <c r="S116" s="12"/>
      <c r="T116"/>
      <c r="U116"/>
      <c r="V116"/>
      <c r="W116"/>
      <c r="X116"/>
      <c r="Y116"/>
      <c r="Z116"/>
      <c r="AA116"/>
      <c r="AB116"/>
      <c r="AC116"/>
      <c r="AD116"/>
    </row>
    <row r="117" spans="1:78" ht="16.5" thickBot="1" x14ac:dyDescent="0.25">
      <c r="A117" s="54" t="str">
        <f>IF(F117&lt;&gt;"",1+MAX($A$6:A116),"")</f>
        <v/>
      </c>
      <c r="B117" s="14"/>
      <c r="C117" s="74"/>
      <c r="D117" s="73"/>
      <c r="E117" s="72" t="s">
        <v>104</v>
      </c>
      <c r="F117" s="64"/>
      <c r="G117" s="71"/>
      <c r="H117" s="64"/>
      <c r="I117" s="19"/>
      <c r="J117" s="221"/>
      <c r="K117" s="221"/>
      <c r="L117" s="221"/>
      <c r="M117" s="15">
        <f>SUM(M115:M116)</f>
        <v>0</v>
      </c>
      <c r="N117" s="16">
        <f>SUM(N115:N116)</f>
        <v>0</v>
      </c>
      <c r="O117" s="17">
        <f>SUM(O115:O116)</f>
        <v>0</v>
      </c>
      <c r="P117" s="70"/>
      <c r="Q117" s="69"/>
      <c r="R117" s="46">
        <f>SUM(Q115:Q116)</f>
        <v>0</v>
      </c>
      <c r="S117" s="12"/>
      <c r="T117" s="23">
        <f>M117+N117+O117-R117</f>
        <v>0</v>
      </c>
      <c r="U117"/>
      <c r="V117"/>
      <c r="W117"/>
      <c r="X117"/>
      <c r="Y117"/>
      <c r="Z117"/>
      <c r="AA117"/>
      <c r="AB117"/>
      <c r="AC117"/>
      <c r="AD117"/>
    </row>
    <row r="118" spans="1:78" s="24" customFormat="1" ht="16.5" thickBot="1" x14ac:dyDescent="0.25">
      <c r="A118" s="54" t="str">
        <f>IF(F118&lt;&gt;"",1+MAX($A$6:A117),"")</f>
        <v/>
      </c>
      <c r="B118" s="4"/>
      <c r="C118" s="2"/>
      <c r="D118" s="66"/>
      <c r="E118" s="5"/>
      <c r="F118" s="65"/>
      <c r="G118" s="26"/>
      <c r="H118" s="65"/>
      <c r="I118" s="27"/>
      <c r="J118" s="222"/>
      <c r="K118" s="223"/>
      <c r="L118" s="223"/>
      <c r="M118" s="28"/>
      <c r="N118" s="28"/>
      <c r="O118" s="28"/>
      <c r="P118" s="28"/>
      <c r="Q118" s="30"/>
      <c r="R118" s="29"/>
      <c r="S118" s="12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</row>
    <row r="119" spans="1:78" ht="19.5" thickBot="1" x14ac:dyDescent="0.25">
      <c r="A119" s="54" t="str">
        <f>IF(F119&lt;&gt;"",1+MAX($A$6:A118),"")</f>
        <v/>
      </c>
      <c r="B119" s="198" t="s">
        <v>203</v>
      </c>
      <c r="C119" s="81"/>
      <c r="D119" s="81"/>
      <c r="E119" s="78" t="s">
        <v>105</v>
      </c>
      <c r="F119" s="80"/>
      <c r="G119" s="80"/>
      <c r="H119" s="78"/>
      <c r="I119" s="78"/>
      <c r="J119" s="224"/>
      <c r="K119" s="224"/>
      <c r="L119" s="224"/>
      <c r="M119" s="78"/>
      <c r="N119" s="78"/>
      <c r="O119" s="78"/>
      <c r="P119" s="79"/>
      <c r="Q119" s="78"/>
      <c r="R119" s="77"/>
      <c r="S119" s="77"/>
      <c r="T119" s="76"/>
      <c r="U119" s="76"/>
      <c r="V119" s="76"/>
      <c r="W119" s="76"/>
      <c r="X119" s="76"/>
      <c r="Y119"/>
      <c r="Z119"/>
      <c r="AA119"/>
      <c r="AB119"/>
      <c r="AC119"/>
      <c r="AD119"/>
    </row>
    <row r="120" spans="1:78" x14ac:dyDescent="0.2">
      <c r="A120" s="54">
        <f>IF(F120&lt;&gt;"",1+MAX($A$6:A119),"")</f>
        <v>29</v>
      </c>
      <c r="B120" s="206" t="s">
        <v>107</v>
      </c>
      <c r="C120" s="206" t="s">
        <v>221</v>
      </c>
      <c r="D120" s="228"/>
      <c r="E120" s="199" t="s">
        <v>106</v>
      </c>
      <c r="F120" s="120">
        <v>2</v>
      </c>
      <c r="G120" s="22">
        <v>0</v>
      </c>
      <c r="H120" s="67">
        <f>F120*(1+G120)</f>
        <v>2</v>
      </c>
      <c r="I120" s="112" t="s">
        <v>22</v>
      </c>
      <c r="J120" s="218">
        <v>500</v>
      </c>
      <c r="K120" s="218">
        <v>0</v>
      </c>
      <c r="L120" s="219">
        <v>0</v>
      </c>
      <c r="M120" s="123">
        <f>(J120*H120)</f>
        <v>1000</v>
      </c>
      <c r="N120" s="123">
        <f>K120*H120</f>
        <v>0</v>
      </c>
      <c r="O120" s="123">
        <f>L120*H120</f>
        <v>0</v>
      </c>
      <c r="P120" s="124">
        <f>(L120+K120+J120)</f>
        <v>500</v>
      </c>
      <c r="Q120" s="125">
        <f>P120*H120</f>
        <v>1000</v>
      </c>
      <c r="R120" s="47"/>
      <c r="S120" s="12">
        <f>H120*K120</f>
        <v>0</v>
      </c>
      <c r="T120"/>
      <c r="U120"/>
      <c r="V120"/>
      <c r="W120"/>
      <c r="X120"/>
      <c r="Y120"/>
      <c r="Z120"/>
      <c r="AA120"/>
      <c r="AB120"/>
      <c r="AC120"/>
      <c r="AD120"/>
    </row>
    <row r="121" spans="1:78" x14ac:dyDescent="0.2">
      <c r="A121" s="54">
        <f>IF(F121&lt;&gt;"",1+MAX($A$6:A120),"")</f>
        <v>30</v>
      </c>
      <c r="B121" s="206" t="s">
        <v>107</v>
      </c>
      <c r="C121" s="206" t="s">
        <v>221</v>
      </c>
      <c r="D121" s="228"/>
      <c r="E121" s="199" t="s">
        <v>108</v>
      </c>
      <c r="F121" s="120">
        <v>65.41</v>
      </c>
      <c r="G121" s="22">
        <v>0</v>
      </c>
      <c r="H121" s="67">
        <f>F121*(1+G121)</f>
        <v>65.41</v>
      </c>
      <c r="I121" s="112" t="s">
        <v>23</v>
      </c>
      <c r="J121" s="218">
        <v>16</v>
      </c>
      <c r="K121" s="218">
        <v>0</v>
      </c>
      <c r="L121" s="219">
        <v>0</v>
      </c>
      <c r="M121" s="123">
        <f>(J121*H121)</f>
        <v>1046.56</v>
      </c>
      <c r="N121" s="123">
        <f>K121*H121</f>
        <v>0</v>
      </c>
      <c r="O121" s="123">
        <f>L121*H121</f>
        <v>0</v>
      </c>
      <c r="P121" s="124">
        <f>(L121+K121+J121)</f>
        <v>16</v>
      </c>
      <c r="Q121" s="125">
        <f>P121*H121</f>
        <v>1046.56</v>
      </c>
      <c r="R121" s="47"/>
      <c r="S121" s="12">
        <f>H121*K121</f>
        <v>0</v>
      </c>
      <c r="T121"/>
      <c r="U121"/>
      <c r="V121"/>
      <c r="W121"/>
      <c r="X121"/>
      <c r="Y121"/>
      <c r="Z121"/>
      <c r="AA121"/>
      <c r="AB121"/>
      <c r="AC121"/>
      <c r="AD121"/>
    </row>
    <row r="122" spans="1:78" x14ac:dyDescent="0.2">
      <c r="A122" s="54">
        <f>IF(F122&lt;&gt;"",1+MAX($A$6:A121),"")</f>
        <v>31</v>
      </c>
      <c r="B122" s="206" t="s">
        <v>107</v>
      </c>
      <c r="C122" s="206" t="s">
        <v>221</v>
      </c>
      <c r="D122" s="228"/>
      <c r="E122" s="199" t="s">
        <v>109</v>
      </c>
      <c r="F122" s="120">
        <v>101.61</v>
      </c>
      <c r="G122" s="22">
        <v>0</v>
      </c>
      <c r="H122" s="67">
        <f>F122*(1+G122)</f>
        <v>101.61</v>
      </c>
      <c r="I122" s="112" t="s">
        <v>23</v>
      </c>
      <c r="J122" s="218">
        <v>20</v>
      </c>
      <c r="K122" s="218">
        <v>0</v>
      </c>
      <c r="L122" s="219">
        <v>0</v>
      </c>
      <c r="M122" s="123">
        <f>(J122*H122)</f>
        <v>2032.2</v>
      </c>
      <c r="N122" s="123">
        <f>K122*H122</f>
        <v>0</v>
      </c>
      <c r="O122" s="123">
        <f>L122*H122</f>
        <v>0</v>
      </c>
      <c r="P122" s="124">
        <f>(L122+K122+J122)</f>
        <v>20</v>
      </c>
      <c r="Q122" s="125">
        <f>P122*H122</f>
        <v>2032.2</v>
      </c>
      <c r="R122" s="47"/>
      <c r="S122" s="12">
        <f>H122*K122</f>
        <v>0</v>
      </c>
      <c r="T122"/>
      <c r="U122"/>
      <c r="V122"/>
      <c r="W122"/>
      <c r="X122"/>
      <c r="Y122"/>
      <c r="Z122"/>
      <c r="AA122"/>
      <c r="AB122"/>
      <c r="AC122"/>
      <c r="AD122"/>
    </row>
    <row r="123" spans="1:78" s="214" customFormat="1" ht="47.25" x14ac:dyDescent="0.2">
      <c r="A123" s="54">
        <f>IF(F123&lt;&gt;"",1+MAX($A$6:A122),"")</f>
        <v>32</v>
      </c>
      <c r="B123" s="74" t="s">
        <v>107</v>
      </c>
      <c r="C123" s="74"/>
      <c r="D123" s="197"/>
      <c r="E123" s="199" t="s">
        <v>230</v>
      </c>
      <c r="F123" s="120">
        <v>1</v>
      </c>
      <c r="G123" s="22">
        <v>0</v>
      </c>
      <c r="H123" s="67">
        <f>F123*(1+G123)</f>
        <v>1</v>
      </c>
      <c r="I123" s="112" t="s">
        <v>16</v>
      </c>
      <c r="J123" s="230">
        <v>2500</v>
      </c>
      <c r="K123" s="218">
        <v>0</v>
      </c>
      <c r="L123" s="219">
        <v>0</v>
      </c>
      <c r="M123" s="123">
        <f>(J123*H123)</f>
        <v>2500</v>
      </c>
      <c r="N123" s="123">
        <f>K123*H123</f>
        <v>0</v>
      </c>
      <c r="O123" s="123">
        <f>L123*H123</f>
        <v>0</v>
      </c>
      <c r="P123" s="124">
        <f>(L123+K123+J123)</f>
        <v>2500</v>
      </c>
      <c r="Q123" s="125">
        <f>P123*H123</f>
        <v>2500</v>
      </c>
      <c r="R123" s="47"/>
      <c r="S123" s="12">
        <f>H123*K123</f>
        <v>0</v>
      </c>
    </row>
    <row r="124" spans="1:78" ht="16.5" thickBot="1" x14ac:dyDescent="0.25">
      <c r="A124" s="54" t="str">
        <f>IF(F124&lt;&gt;"",1+MAX($A$6:A123),"")</f>
        <v/>
      </c>
      <c r="B124" s="14"/>
      <c r="C124" s="2"/>
      <c r="D124" s="73"/>
      <c r="E124" s="187"/>
      <c r="F124" s="207"/>
      <c r="G124" s="51"/>
      <c r="H124" s="68"/>
      <c r="I124" s="50"/>
      <c r="J124" s="220"/>
      <c r="K124" s="220"/>
      <c r="L124" s="220"/>
      <c r="M124" s="49"/>
      <c r="N124" s="49"/>
      <c r="O124" s="49"/>
      <c r="P124" s="48"/>
      <c r="Q124" s="75"/>
      <c r="R124" s="47"/>
      <c r="S124" s="12"/>
      <c r="T124"/>
      <c r="U124"/>
      <c r="V124"/>
      <c r="W124"/>
      <c r="X124"/>
      <c r="Y124"/>
      <c r="Z124"/>
      <c r="AA124"/>
      <c r="AB124"/>
      <c r="AC124"/>
      <c r="AD124"/>
    </row>
    <row r="125" spans="1:78" ht="16.5" thickBot="1" x14ac:dyDescent="0.25">
      <c r="A125" s="54" t="str">
        <f>IF(F125&lt;&gt;"",1+MAX($A$6:A124),"")</f>
        <v/>
      </c>
      <c r="B125" s="14"/>
      <c r="C125" s="74"/>
      <c r="D125" s="73"/>
      <c r="E125" s="72" t="s">
        <v>110</v>
      </c>
      <c r="F125" s="64"/>
      <c r="G125" s="71"/>
      <c r="H125" s="64"/>
      <c r="I125" s="19"/>
      <c r="J125" s="221"/>
      <c r="K125" s="221"/>
      <c r="L125" s="221"/>
      <c r="M125" s="15">
        <f>SUM(M120:M124)</f>
        <v>6578.76</v>
      </c>
      <c r="N125" s="16">
        <f t="shared" ref="N125" si="1">SUM(N120:N124)</f>
        <v>0</v>
      </c>
      <c r="O125" s="17">
        <f t="shared" ref="O125" si="2">SUM(O120:O124)</f>
        <v>0</v>
      </c>
      <c r="P125" s="70"/>
      <c r="Q125" s="69"/>
      <c r="R125" s="46">
        <f>SUM(Q120:Q124)</f>
        <v>6578.76</v>
      </c>
      <c r="S125" s="12"/>
      <c r="T125" s="23">
        <f>M125+N125+O125-R125</f>
        <v>0</v>
      </c>
      <c r="U125"/>
      <c r="V125"/>
      <c r="W125"/>
      <c r="X125"/>
      <c r="Y125"/>
      <c r="Z125"/>
      <c r="AA125"/>
      <c r="AB125"/>
      <c r="AC125"/>
      <c r="AD125"/>
    </row>
    <row r="126" spans="1:78" s="24" customFormat="1" ht="16.5" thickBot="1" x14ac:dyDescent="0.25">
      <c r="A126" s="54" t="str">
        <f>IF(F126&lt;&gt;"",1+MAX($A$6:A125),"")</f>
        <v/>
      </c>
      <c r="B126" s="4"/>
      <c r="C126" s="2"/>
      <c r="D126" s="66"/>
      <c r="E126" s="5"/>
      <c r="F126" s="65"/>
      <c r="G126" s="26"/>
      <c r="H126" s="65"/>
      <c r="I126" s="27"/>
      <c r="J126" s="222"/>
      <c r="K126" s="223"/>
      <c r="L126" s="223"/>
      <c r="M126" s="28"/>
      <c r="N126" s="28"/>
      <c r="O126" s="28"/>
      <c r="P126" s="28"/>
      <c r="Q126" s="30"/>
      <c r="R126" s="29"/>
      <c r="S126" s="12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</row>
    <row r="127" spans="1:78" ht="19.5" thickBot="1" x14ac:dyDescent="0.25">
      <c r="A127" s="54" t="str">
        <f>IF(F127&lt;&gt;"",1+MAX($A$6:A126),"")</f>
        <v/>
      </c>
      <c r="B127" s="198" t="s">
        <v>204</v>
      </c>
      <c r="C127" s="81"/>
      <c r="D127" s="81"/>
      <c r="E127" s="78" t="s">
        <v>111</v>
      </c>
      <c r="F127" s="80"/>
      <c r="G127" s="80"/>
      <c r="H127" s="78"/>
      <c r="I127" s="78"/>
      <c r="J127" s="224"/>
      <c r="K127" s="224"/>
      <c r="L127" s="224"/>
      <c r="M127" s="78"/>
      <c r="N127" s="78"/>
      <c r="O127" s="78"/>
      <c r="P127" s="79"/>
      <c r="Q127" s="78"/>
      <c r="R127" s="77"/>
      <c r="S127" s="77"/>
      <c r="T127" s="76"/>
      <c r="U127" s="76"/>
      <c r="V127" s="76"/>
      <c r="W127" s="76"/>
      <c r="X127" s="76"/>
      <c r="Y127"/>
      <c r="Z127"/>
      <c r="AA127"/>
      <c r="AB127"/>
      <c r="AC127"/>
      <c r="AD127"/>
    </row>
    <row r="128" spans="1:78" ht="47.25" x14ac:dyDescent="0.2">
      <c r="A128" s="54">
        <f>IF(F128&lt;&gt;"",1+MAX($A$6:A127),"")</f>
        <v>33</v>
      </c>
      <c r="B128" s="206" t="s">
        <v>107</v>
      </c>
      <c r="C128" s="206"/>
      <c r="D128" s="197"/>
      <c r="E128" s="199" t="s">
        <v>231</v>
      </c>
      <c r="F128" s="120">
        <v>247.75</v>
      </c>
      <c r="G128" s="22">
        <v>0.1</v>
      </c>
      <c r="H128" s="67">
        <f>F128*(1+G128)</f>
        <v>272.52500000000003</v>
      </c>
      <c r="I128" s="112" t="s">
        <v>23</v>
      </c>
      <c r="J128" s="229">
        <v>30</v>
      </c>
      <c r="K128" s="218">
        <v>0</v>
      </c>
      <c r="L128" s="219">
        <v>0</v>
      </c>
      <c r="M128" s="123">
        <f>(J128*H128)</f>
        <v>8175.7500000000009</v>
      </c>
      <c r="N128" s="123">
        <f>K128*H128</f>
        <v>0</v>
      </c>
      <c r="O128" s="123">
        <f>L128*H128</f>
        <v>0</v>
      </c>
      <c r="P128" s="124">
        <f>(L128+K128+J128)</f>
        <v>30</v>
      </c>
      <c r="Q128" s="125">
        <f>P128*H128</f>
        <v>8175.7500000000009</v>
      </c>
      <c r="R128" s="47"/>
      <c r="S128" s="12">
        <f>H128*K128</f>
        <v>0</v>
      </c>
      <c r="T128"/>
      <c r="U128"/>
      <c r="V128"/>
      <c r="W128"/>
      <c r="X128"/>
      <c r="Y128"/>
      <c r="Z128"/>
      <c r="AA128"/>
      <c r="AB128"/>
      <c r="AC128"/>
      <c r="AD128"/>
    </row>
    <row r="129" spans="1:78" ht="47.25" x14ac:dyDescent="0.2">
      <c r="A129" s="54">
        <f>IF(F129&lt;&gt;"",1+MAX($A$6:A128),"")</f>
        <v>34</v>
      </c>
      <c r="B129" s="206"/>
      <c r="C129" s="206"/>
      <c r="D129" s="217" t="s">
        <v>215</v>
      </c>
      <c r="E129" s="199" t="s">
        <v>113</v>
      </c>
      <c r="F129" s="120">
        <f>2*1*177/27</f>
        <v>13.111111111111111</v>
      </c>
      <c r="G129" s="22">
        <v>0.1</v>
      </c>
      <c r="H129" s="67">
        <f>F129*(1+G129)</f>
        <v>14.422222222222222</v>
      </c>
      <c r="I129" s="112" t="s">
        <v>11</v>
      </c>
      <c r="J129" s="221"/>
      <c r="K129" s="221"/>
      <c r="L129" s="225"/>
      <c r="M129" s="123"/>
      <c r="N129" s="123"/>
      <c r="O129" s="123"/>
      <c r="P129" s="215"/>
      <c r="Q129" s="216"/>
      <c r="R129" s="47"/>
      <c r="S129" s="12">
        <f>H129*K129</f>
        <v>0</v>
      </c>
      <c r="T129"/>
      <c r="U129"/>
      <c r="V129"/>
      <c r="W129"/>
      <c r="X129"/>
      <c r="Y129"/>
      <c r="Z129"/>
      <c r="AA129"/>
      <c r="AB129"/>
      <c r="AC129"/>
      <c r="AD129"/>
    </row>
    <row r="130" spans="1:78" ht="47.25" x14ac:dyDescent="0.2">
      <c r="A130" s="54">
        <f>IF(F130&lt;&gt;"",1+MAX($A$6:A129),"")</f>
        <v>35</v>
      </c>
      <c r="B130" s="206"/>
      <c r="C130" s="206"/>
      <c r="D130" s="217" t="s">
        <v>215</v>
      </c>
      <c r="E130" s="199" t="s">
        <v>114</v>
      </c>
      <c r="F130" s="120">
        <f>1*0.83*177/27-3.14*0.25*0.08*0.08*177/27</f>
        <v>5.4081760000000001</v>
      </c>
      <c r="G130" s="22">
        <v>0.1</v>
      </c>
      <c r="H130" s="67">
        <f>F130*(1+G130)</f>
        <v>5.9489936000000005</v>
      </c>
      <c r="I130" s="112" t="s">
        <v>11</v>
      </c>
      <c r="J130" s="221"/>
      <c r="K130" s="221"/>
      <c r="L130" s="225"/>
      <c r="M130" s="123"/>
      <c r="N130" s="123"/>
      <c r="O130" s="123"/>
      <c r="P130" s="215"/>
      <c r="Q130" s="216"/>
      <c r="R130" s="47"/>
      <c r="S130" s="12">
        <f>H130*K130</f>
        <v>0</v>
      </c>
      <c r="T130"/>
      <c r="U130"/>
      <c r="V130"/>
      <c r="W130"/>
      <c r="X130"/>
      <c r="Y130"/>
      <c r="Z130"/>
      <c r="AA130"/>
      <c r="AB130"/>
      <c r="AC130"/>
      <c r="AD130"/>
    </row>
    <row r="131" spans="1:78" ht="47.25" x14ac:dyDescent="0.2">
      <c r="A131" s="54">
        <f>IF(F131&lt;&gt;"",1+MAX($A$6:A130),"")</f>
        <v>36</v>
      </c>
      <c r="B131" s="206"/>
      <c r="C131" s="206"/>
      <c r="D131" s="217" t="s">
        <v>215</v>
      </c>
      <c r="E131" s="211" t="s">
        <v>172</v>
      </c>
      <c r="F131" s="120">
        <f>F129-F130-3.14*0.25*0.08*0.08*177/27</f>
        <v>7.67</v>
      </c>
      <c r="G131" s="22">
        <v>0.1</v>
      </c>
      <c r="H131" s="67">
        <f>F131*(1+G131)</f>
        <v>8.4370000000000012</v>
      </c>
      <c r="I131" s="112" t="s">
        <v>11</v>
      </c>
      <c r="J131" s="221"/>
      <c r="K131" s="221"/>
      <c r="L131" s="225"/>
      <c r="M131" s="123"/>
      <c r="N131" s="123"/>
      <c r="O131" s="123"/>
      <c r="P131" s="215"/>
      <c r="Q131" s="216"/>
      <c r="R131" s="47"/>
      <c r="S131" s="12">
        <f>H131*K131</f>
        <v>0</v>
      </c>
      <c r="T131"/>
      <c r="U131"/>
      <c r="V131"/>
      <c r="W131"/>
      <c r="X131"/>
      <c r="Y131"/>
      <c r="Z131"/>
      <c r="AA131"/>
      <c r="AB131"/>
      <c r="AC131"/>
      <c r="AD131"/>
    </row>
    <row r="132" spans="1:78" x14ac:dyDescent="0.2">
      <c r="A132" s="54">
        <f>IF(F132&lt;&gt;"",1+MAX($A$6:A131),"")</f>
        <v>37</v>
      </c>
      <c r="B132" s="206" t="s">
        <v>107</v>
      </c>
      <c r="C132" s="206" t="s">
        <v>116</v>
      </c>
      <c r="D132" s="228"/>
      <c r="E132" s="199" t="s">
        <v>115</v>
      </c>
      <c r="F132" s="120">
        <f>(56.83*2)+63.83</f>
        <v>177.49</v>
      </c>
      <c r="G132" s="22">
        <v>0.1</v>
      </c>
      <c r="H132" s="67">
        <f>F132*(1+G132)</f>
        <v>195.23900000000003</v>
      </c>
      <c r="I132" s="112" t="s">
        <v>23</v>
      </c>
      <c r="J132" s="218">
        <v>0.9</v>
      </c>
      <c r="K132" s="218">
        <v>1.1000000000000001</v>
      </c>
      <c r="L132" s="219">
        <v>0</v>
      </c>
      <c r="M132" s="123">
        <f>(J132*H132)</f>
        <v>175.71510000000004</v>
      </c>
      <c r="N132" s="123">
        <f>K132*H132</f>
        <v>214.76290000000006</v>
      </c>
      <c r="O132" s="123">
        <f>L132*H132</f>
        <v>0</v>
      </c>
      <c r="P132" s="124">
        <f>(L132+K132+J132)</f>
        <v>2</v>
      </c>
      <c r="Q132" s="125">
        <f>P132*H132</f>
        <v>390.47800000000007</v>
      </c>
      <c r="R132" s="47"/>
      <c r="S132" s="12">
        <f>H132*K132</f>
        <v>214.76290000000006</v>
      </c>
      <c r="T132"/>
      <c r="U132"/>
      <c r="V132"/>
      <c r="W132"/>
      <c r="X132"/>
      <c r="Y132"/>
      <c r="Z132"/>
      <c r="AA132"/>
      <c r="AB132"/>
      <c r="AC132"/>
      <c r="AD132"/>
    </row>
    <row r="133" spans="1:78" ht="16.5" thickBot="1" x14ac:dyDescent="0.25">
      <c r="A133" s="54" t="str">
        <f>IF(F133&lt;&gt;"",1+MAX($A$6:A132),"")</f>
        <v/>
      </c>
      <c r="B133" s="14"/>
      <c r="C133" s="2"/>
      <c r="D133" s="73"/>
      <c r="E133" s="187"/>
      <c r="F133" s="207"/>
      <c r="G133" s="51"/>
      <c r="H133" s="68"/>
      <c r="I133" s="50"/>
      <c r="J133" s="220"/>
      <c r="K133" s="220"/>
      <c r="L133" s="220"/>
      <c r="M133" s="49"/>
      <c r="N133" s="49"/>
      <c r="O133" s="49"/>
      <c r="P133" s="48"/>
      <c r="Q133" s="75"/>
      <c r="R133" s="47"/>
      <c r="S133" s="12"/>
      <c r="T133"/>
      <c r="U133"/>
      <c r="V133"/>
      <c r="W133"/>
      <c r="X133"/>
      <c r="Y133"/>
      <c r="Z133"/>
      <c r="AA133"/>
      <c r="AB133"/>
      <c r="AC133"/>
      <c r="AD133"/>
    </row>
    <row r="134" spans="1:78" ht="16.5" thickBot="1" x14ac:dyDescent="0.25">
      <c r="A134" s="54" t="str">
        <f>IF(F134&lt;&gt;"",1+MAX($A$6:A133),"")</f>
        <v/>
      </c>
      <c r="B134" s="14"/>
      <c r="C134" s="74"/>
      <c r="D134" s="73"/>
      <c r="E134" s="72" t="s">
        <v>112</v>
      </c>
      <c r="F134" s="64"/>
      <c r="G134" s="71"/>
      <c r="H134" s="64"/>
      <c r="I134" s="19"/>
      <c r="J134" s="221"/>
      <c r="K134" s="221"/>
      <c r="L134" s="221"/>
      <c r="M134" s="15">
        <f>SUM(M128:M133)</f>
        <v>8351.4651000000013</v>
      </c>
      <c r="N134" s="16">
        <f>SUM(N128:N133)</f>
        <v>214.76290000000006</v>
      </c>
      <c r="O134" s="17">
        <f>SUM(O128:O133)</f>
        <v>0</v>
      </c>
      <c r="P134" s="70"/>
      <c r="Q134" s="69"/>
      <c r="R134" s="46">
        <f>SUM(Q128:Q133)</f>
        <v>8566.228000000001</v>
      </c>
      <c r="S134" s="12"/>
      <c r="T134" s="23">
        <f>M134+N134+O134-R134</f>
        <v>0</v>
      </c>
      <c r="U134"/>
      <c r="V134"/>
      <c r="W134"/>
      <c r="X134"/>
      <c r="Y134"/>
      <c r="Z134"/>
      <c r="AA134"/>
      <c r="AB134"/>
      <c r="AC134"/>
      <c r="AD134"/>
    </row>
    <row r="135" spans="1:78" s="24" customFormat="1" ht="16.5" thickBot="1" x14ac:dyDescent="0.25">
      <c r="A135" s="54" t="str">
        <f>IF(F135&lt;&gt;"",1+MAX($A$6:A134),"")</f>
        <v/>
      </c>
      <c r="B135" s="4"/>
      <c r="C135" s="2"/>
      <c r="D135" s="66"/>
      <c r="E135" s="5"/>
      <c r="F135" s="65"/>
      <c r="G135" s="26"/>
      <c r="H135" s="65"/>
      <c r="I135" s="27"/>
      <c r="J135" s="222"/>
      <c r="K135" s="223"/>
      <c r="L135" s="223"/>
      <c r="M135" s="28"/>
      <c r="N135" s="28"/>
      <c r="O135" s="28"/>
      <c r="P135" s="28"/>
      <c r="Q135" s="30"/>
      <c r="R135" s="29"/>
      <c r="S135" s="12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</row>
    <row r="136" spans="1:78" ht="19.5" thickBot="1" x14ac:dyDescent="0.25">
      <c r="A136" s="54" t="str">
        <f>IF(F136&lt;&gt;"",1+MAX($A$6:A135),"")</f>
        <v/>
      </c>
      <c r="B136" s="198" t="s">
        <v>205</v>
      </c>
      <c r="C136" s="81"/>
      <c r="D136" s="81"/>
      <c r="E136" s="78" t="s">
        <v>118</v>
      </c>
      <c r="F136" s="80"/>
      <c r="G136" s="80"/>
      <c r="H136" s="78"/>
      <c r="I136" s="78"/>
      <c r="J136" s="224"/>
      <c r="K136" s="224"/>
      <c r="L136" s="224"/>
      <c r="M136" s="78"/>
      <c r="N136" s="78"/>
      <c r="O136" s="78"/>
      <c r="P136" s="79"/>
      <c r="Q136" s="78"/>
      <c r="R136" s="77"/>
      <c r="S136" s="77"/>
      <c r="T136" s="76"/>
      <c r="U136" s="76"/>
      <c r="V136" s="76"/>
      <c r="W136" s="76"/>
      <c r="X136" s="76"/>
      <c r="Y136"/>
      <c r="Z136"/>
      <c r="AA136"/>
      <c r="AB136"/>
      <c r="AC136"/>
      <c r="AD136"/>
    </row>
    <row r="137" spans="1:78" ht="63" x14ac:dyDescent="0.2">
      <c r="A137" s="54">
        <f>IF(F137&lt;&gt;"",1+MAX($A$6:A136),"")</f>
        <v>38</v>
      </c>
      <c r="B137" s="206" t="s">
        <v>107</v>
      </c>
      <c r="C137" s="206" t="s">
        <v>116</v>
      </c>
      <c r="D137" s="197"/>
      <c r="E137" s="199" t="s">
        <v>222</v>
      </c>
      <c r="F137" s="120">
        <v>300</v>
      </c>
      <c r="G137" s="22">
        <v>0.1</v>
      </c>
      <c r="H137" s="67">
        <f>F137*(1+G137)</f>
        <v>330</v>
      </c>
      <c r="I137" s="112" t="s">
        <v>23</v>
      </c>
      <c r="J137" s="229">
        <v>0</v>
      </c>
      <c r="K137" s="229">
        <v>0</v>
      </c>
      <c r="L137" s="219">
        <v>0</v>
      </c>
      <c r="M137" s="123">
        <f>(J137*H137)</f>
        <v>0</v>
      </c>
      <c r="N137" s="123">
        <f>K137*H137</f>
        <v>0</v>
      </c>
      <c r="O137" s="123">
        <f>L137*H137</f>
        <v>0</v>
      </c>
      <c r="P137" s="124">
        <f>(L137+K137+J137)</f>
        <v>0</v>
      </c>
      <c r="Q137" s="125">
        <f>P137*H137</f>
        <v>0</v>
      </c>
      <c r="R137" s="47"/>
      <c r="S137" s="12">
        <f>H137*K137</f>
        <v>0</v>
      </c>
      <c r="T137"/>
      <c r="U137"/>
      <c r="V137"/>
      <c r="W137"/>
      <c r="X137"/>
      <c r="Y137"/>
      <c r="Z137"/>
      <c r="AA137"/>
      <c r="AB137"/>
      <c r="AC137"/>
      <c r="AD137"/>
    </row>
    <row r="138" spans="1:78" ht="16.5" thickBot="1" x14ac:dyDescent="0.25">
      <c r="A138" s="54" t="str">
        <f>IF(F138&lt;&gt;"",1+MAX($A$6:A137),"")</f>
        <v/>
      </c>
      <c r="B138" s="14"/>
      <c r="C138" s="2"/>
      <c r="D138" s="73"/>
      <c r="E138" s="187"/>
      <c r="F138" s="207"/>
      <c r="G138" s="51"/>
      <c r="H138" s="68"/>
      <c r="I138" s="50"/>
      <c r="J138" s="220"/>
      <c r="K138" s="220"/>
      <c r="L138" s="220"/>
      <c r="M138" s="49"/>
      <c r="N138" s="49"/>
      <c r="O138" s="49"/>
      <c r="P138" s="48"/>
      <c r="Q138" s="75"/>
      <c r="R138" s="47"/>
      <c r="S138" s="12"/>
      <c r="T138"/>
      <c r="U138"/>
      <c r="V138"/>
      <c r="W138"/>
      <c r="X138"/>
      <c r="Y138"/>
      <c r="Z138"/>
      <c r="AA138"/>
      <c r="AB138"/>
      <c r="AC138"/>
      <c r="AD138"/>
    </row>
    <row r="139" spans="1:78" ht="32.25" thickBot="1" x14ac:dyDescent="0.25">
      <c r="A139" s="54" t="str">
        <f>IF(F139&lt;&gt;"",1+MAX($A$6:A138),"")</f>
        <v/>
      </c>
      <c r="B139" s="14"/>
      <c r="C139" s="74"/>
      <c r="D139" s="73"/>
      <c r="E139" s="72" t="s">
        <v>119</v>
      </c>
      <c r="F139" s="64"/>
      <c r="G139" s="71"/>
      <c r="H139" s="64"/>
      <c r="I139" s="19"/>
      <c r="J139" s="221"/>
      <c r="K139" s="221"/>
      <c r="L139" s="221"/>
      <c r="M139" s="15">
        <f>SUM(M137:M138)</f>
        <v>0</v>
      </c>
      <c r="N139" s="16">
        <f>SUM(N137:N138)</f>
        <v>0</v>
      </c>
      <c r="O139" s="17">
        <f>SUM(O137:O138)</f>
        <v>0</v>
      </c>
      <c r="P139" s="70"/>
      <c r="Q139" s="69"/>
      <c r="R139" s="46">
        <f>SUM(Q137:Q138)</f>
        <v>0</v>
      </c>
      <c r="S139" s="12"/>
      <c r="T139" s="23">
        <f>M139+N139+O139-R139</f>
        <v>0</v>
      </c>
      <c r="U139"/>
      <c r="V139"/>
      <c r="W139"/>
      <c r="X139"/>
      <c r="Y139"/>
      <c r="Z139"/>
      <c r="AA139"/>
      <c r="AB139"/>
      <c r="AC139"/>
      <c r="AD139"/>
    </row>
    <row r="140" spans="1:78" s="24" customFormat="1" ht="16.5" thickBot="1" x14ac:dyDescent="0.25">
      <c r="A140" s="54" t="str">
        <f>IF(F140&lt;&gt;"",1+MAX($A$6:A139),"")</f>
        <v/>
      </c>
      <c r="B140" s="4"/>
      <c r="C140" s="2"/>
      <c r="D140" s="66"/>
      <c r="E140" s="5"/>
      <c r="F140" s="65"/>
      <c r="G140" s="26"/>
      <c r="H140" s="65"/>
      <c r="I140" s="27"/>
      <c r="J140" s="222"/>
      <c r="K140" s="223"/>
      <c r="L140" s="223"/>
      <c r="M140" s="28"/>
      <c r="N140" s="28"/>
      <c r="O140" s="28"/>
      <c r="P140" s="28"/>
      <c r="Q140" s="30"/>
      <c r="R140" s="29"/>
      <c r="S140" s="12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</row>
    <row r="141" spans="1:78" ht="19.5" thickBot="1" x14ac:dyDescent="0.25">
      <c r="A141" s="54" t="str">
        <f>IF(F141&lt;&gt;"",1+MAX($A$6:A140),"")</f>
        <v/>
      </c>
      <c r="B141" s="198" t="s">
        <v>206</v>
      </c>
      <c r="C141" s="81"/>
      <c r="D141" s="81"/>
      <c r="E141" s="78" t="s">
        <v>117</v>
      </c>
      <c r="F141" s="80"/>
      <c r="G141" s="80"/>
      <c r="H141" s="78"/>
      <c r="I141" s="78"/>
      <c r="J141" s="224"/>
      <c r="K141" s="224"/>
      <c r="L141" s="224"/>
      <c r="M141" s="78"/>
      <c r="N141" s="78"/>
      <c r="O141" s="78"/>
      <c r="P141" s="79"/>
      <c r="Q141" s="78"/>
      <c r="R141" s="77"/>
      <c r="S141" s="77"/>
      <c r="T141" s="76"/>
      <c r="U141" s="76"/>
      <c r="V141" s="76"/>
      <c r="W141" s="76"/>
      <c r="X141" s="76"/>
      <c r="Y141"/>
      <c r="Z141"/>
      <c r="AA141"/>
      <c r="AB141"/>
      <c r="AC141"/>
      <c r="AD141"/>
    </row>
    <row r="142" spans="1:78" ht="47.25" x14ac:dyDescent="0.2">
      <c r="A142" s="54">
        <f>IF(F142&lt;&gt;"",1+MAX($A$6:A141),"")</f>
        <v>39</v>
      </c>
      <c r="B142" s="206" t="s">
        <v>107</v>
      </c>
      <c r="C142" s="206" t="s">
        <v>116</v>
      </c>
      <c r="D142" s="197"/>
      <c r="E142" s="199" t="s">
        <v>232</v>
      </c>
      <c r="F142" s="120">
        <f>(56.83*2)+63.83</f>
        <v>177.49</v>
      </c>
      <c r="G142" s="22">
        <v>0.1</v>
      </c>
      <c r="H142" s="67">
        <f>F142*(1+G142)</f>
        <v>195.23900000000003</v>
      </c>
      <c r="I142" s="112" t="s">
        <v>23</v>
      </c>
      <c r="J142" s="229">
        <v>0</v>
      </c>
      <c r="K142" s="229">
        <v>0</v>
      </c>
      <c r="L142" s="219">
        <v>0</v>
      </c>
      <c r="M142" s="123">
        <f>(J142*H142)</f>
        <v>0</v>
      </c>
      <c r="N142" s="123">
        <f>K142*H142</f>
        <v>0</v>
      </c>
      <c r="O142" s="123">
        <f>L142*H142</f>
        <v>0</v>
      </c>
      <c r="P142" s="124">
        <f>(L142+K142+J142)</f>
        <v>0</v>
      </c>
      <c r="Q142" s="125">
        <f>P142*H142</f>
        <v>0</v>
      </c>
      <c r="R142" s="47"/>
      <c r="S142" s="12">
        <f>H142*K142</f>
        <v>0</v>
      </c>
      <c r="T142"/>
      <c r="U142"/>
      <c r="V142"/>
      <c r="W142"/>
      <c r="X142"/>
      <c r="Y142"/>
      <c r="Z142"/>
      <c r="AA142"/>
      <c r="AB142"/>
      <c r="AC142"/>
      <c r="AD142"/>
    </row>
    <row r="143" spans="1:78" x14ac:dyDescent="0.2">
      <c r="A143" s="54">
        <f>IF(F143&lt;&gt;"",1+MAX($A$6:A142),"")</f>
        <v>40</v>
      </c>
      <c r="B143" s="206" t="s">
        <v>107</v>
      </c>
      <c r="C143" s="206" t="s">
        <v>116</v>
      </c>
      <c r="D143" s="228"/>
      <c r="E143" s="199" t="s">
        <v>216</v>
      </c>
      <c r="F143" s="120">
        <v>2</v>
      </c>
      <c r="G143" s="22">
        <v>0</v>
      </c>
      <c r="H143" s="67">
        <f>F143*(1+G143)</f>
        <v>2</v>
      </c>
      <c r="I143" s="112" t="s">
        <v>22</v>
      </c>
      <c r="J143" s="229">
        <v>0</v>
      </c>
      <c r="K143" s="229">
        <v>0</v>
      </c>
      <c r="L143" s="219">
        <v>0</v>
      </c>
      <c r="M143" s="123">
        <f>(J143*H143)</f>
        <v>0</v>
      </c>
      <c r="N143" s="123">
        <f>K143*H143</f>
        <v>0</v>
      </c>
      <c r="O143" s="123">
        <f>L143*H143</f>
        <v>0</v>
      </c>
      <c r="P143" s="124">
        <f>(L143+K143+J143)</f>
        <v>0</v>
      </c>
      <c r="Q143" s="125">
        <f>P143*H143</f>
        <v>0</v>
      </c>
      <c r="R143" s="47"/>
      <c r="S143" s="12">
        <f>H143*K143</f>
        <v>0</v>
      </c>
      <c r="T143"/>
      <c r="U143"/>
      <c r="V143"/>
      <c r="W143"/>
      <c r="X143"/>
      <c r="Y143"/>
      <c r="Z143"/>
      <c r="AA143"/>
      <c r="AB143"/>
      <c r="AC143"/>
      <c r="AD143"/>
    </row>
    <row r="144" spans="1:78" ht="16.5" thickBot="1" x14ac:dyDescent="0.25">
      <c r="A144" s="54" t="str">
        <f>IF(F144&lt;&gt;"",1+MAX($A$6:A143),"")</f>
        <v/>
      </c>
      <c r="B144" s="14"/>
      <c r="C144" s="2"/>
      <c r="D144" s="73"/>
      <c r="E144" s="187"/>
      <c r="F144" s="207"/>
      <c r="G144" s="51"/>
      <c r="H144" s="68"/>
      <c r="I144" s="50"/>
      <c r="J144" s="220"/>
      <c r="K144" s="220"/>
      <c r="L144" s="220"/>
      <c r="M144" s="49"/>
      <c r="N144" s="49"/>
      <c r="O144" s="49"/>
      <c r="P144" s="48"/>
      <c r="Q144" s="75"/>
      <c r="R144" s="47"/>
      <c r="S144" s="12"/>
      <c r="T144"/>
      <c r="U144"/>
      <c r="V144"/>
      <c r="W144"/>
      <c r="X144"/>
      <c r="Y144"/>
      <c r="Z144"/>
      <c r="AA144"/>
      <c r="AB144"/>
      <c r="AC144"/>
      <c r="AD144"/>
    </row>
    <row r="145" spans="1:78" ht="16.5" thickBot="1" x14ac:dyDescent="0.25">
      <c r="A145" s="54" t="str">
        <f>IF(F145&lt;&gt;"",1+MAX($A$6:A144),"")</f>
        <v/>
      </c>
      <c r="B145" s="14"/>
      <c r="C145" s="74"/>
      <c r="D145" s="73"/>
      <c r="E145" s="72" t="s">
        <v>142</v>
      </c>
      <c r="F145" s="64"/>
      <c r="G145" s="71"/>
      <c r="H145" s="64"/>
      <c r="I145" s="19"/>
      <c r="J145" s="221"/>
      <c r="K145" s="221"/>
      <c r="L145" s="221"/>
      <c r="M145" s="15">
        <f>SUM(M142:M144)</f>
        <v>0</v>
      </c>
      <c r="N145" s="15">
        <f t="shared" ref="N145:O145" si="3">SUM(N142:N144)</f>
        <v>0</v>
      </c>
      <c r="O145" s="15">
        <f t="shared" si="3"/>
        <v>0</v>
      </c>
      <c r="P145" s="70"/>
      <c r="Q145" s="69"/>
      <c r="R145" s="46">
        <f>SUM(Q142:Q144)</f>
        <v>0</v>
      </c>
      <c r="S145" s="12"/>
      <c r="T145" s="23">
        <f>M145+N145+O145-R145</f>
        <v>0</v>
      </c>
      <c r="U145"/>
      <c r="V145"/>
      <c r="W145"/>
      <c r="X145"/>
      <c r="Y145"/>
      <c r="Z145"/>
      <c r="AA145"/>
      <c r="AB145"/>
      <c r="AC145"/>
      <c r="AD145"/>
    </row>
    <row r="146" spans="1:78" s="24" customFormat="1" ht="16.5" thickBot="1" x14ac:dyDescent="0.25">
      <c r="A146" s="54" t="str">
        <f>IF(F146&lt;&gt;"",1+MAX($A$6:A145),"")</f>
        <v/>
      </c>
      <c r="B146" s="4"/>
      <c r="C146" s="2"/>
      <c r="D146" s="66"/>
      <c r="E146" s="5"/>
      <c r="F146" s="65"/>
      <c r="G146" s="26"/>
      <c r="H146" s="65"/>
      <c r="I146" s="27"/>
      <c r="J146" s="222"/>
      <c r="K146" s="223"/>
      <c r="L146" s="223"/>
      <c r="M146" s="28"/>
      <c r="N146" s="28"/>
      <c r="O146" s="28"/>
      <c r="P146" s="28"/>
      <c r="Q146" s="30"/>
      <c r="R146" s="29"/>
      <c r="S146" s="12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</row>
    <row r="147" spans="1:78" ht="19.5" thickBot="1" x14ac:dyDescent="0.25">
      <c r="A147" s="54" t="str">
        <f>IF(F147&lt;&gt;"",1+MAX($A$6:A146),"")</f>
        <v/>
      </c>
      <c r="B147" s="198" t="s">
        <v>207</v>
      </c>
      <c r="C147" s="81"/>
      <c r="D147" s="81"/>
      <c r="E147" s="78" t="s">
        <v>208</v>
      </c>
      <c r="F147" s="80"/>
      <c r="G147" s="80"/>
      <c r="H147" s="78"/>
      <c r="I147" s="78"/>
      <c r="J147" s="224"/>
      <c r="K147" s="224"/>
      <c r="L147" s="224"/>
      <c r="M147" s="78"/>
      <c r="N147" s="78"/>
      <c r="O147" s="78"/>
      <c r="P147" s="79"/>
      <c r="Q147" s="78"/>
      <c r="R147" s="77"/>
      <c r="S147" s="77"/>
      <c r="T147" s="76"/>
      <c r="U147" s="76"/>
      <c r="V147" s="76"/>
      <c r="W147" s="76"/>
      <c r="X147" s="76"/>
      <c r="Y147"/>
      <c r="Z147"/>
      <c r="AA147"/>
      <c r="AB147"/>
      <c r="AC147"/>
      <c r="AD147"/>
    </row>
    <row r="148" spans="1:78" ht="47.25" x14ac:dyDescent="0.2">
      <c r="A148" s="54">
        <f>IF(F148&lt;&gt;"",1+MAX($A$6:A147),"")</f>
        <v>41</v>
      </c>
      <c r="B148" s="206" t="s">
        <v>107</v>
      </c>
      <c r="C148" s="206" t="s">
        <v>116</v>
      </c>
      <c r="D148" s="197"/>
      <c r="E148" s="199" t="s">
        <v>233</v>
      </c>
      <c r="F148" s="120">
        <v>120.67</v>
      </c>
      <c r="G148" s="22">
        <v>0.1</v>
      </c>
      <c r="H148" s="67">
        <f>F148*(1+G148)</f>
        <v>132.73700000000002</v>
      </c>
      <c r="I148" s="112" t="s">
        <v>23</v>
      </c>
      <c r="J148" s="229">
        <v>0</v>
      </c>
      <c r="K148" s="229">
        <v>0</v>
      </c>
      <c r="L148" s="219">
        <v>0</v>
      </c>
      <c r="M148" s="123">
        <f>(J148*H148)</f>
        <v>0</v>
      </c>
      <c r="N148" s="123">
        <f>K148*H148</f>
        <v>0</v>
      </c>
      <c r="O148" s="123">
        <f>L148*H148</f>
        <v>0</v>
      </c>
      <c r="P148" s="124">
        <f>(L148+K148+J148)</f>
        <v>0</v>
      </c>
      <c r="Q148" s="125">
        <f>P148*H148</f>
        <v>0</v>
      </c>
      <c r="R148" s="47"/>
      <c r="S148" s="12">
        <f>H148*K148</f>
        <v>0</v>
      </c>
      <c r="T148"/>
      <c r="U148"/>
      <c r="V148"/>
      <c r="W148"/>
      <c r="X148"/>
      <c r="Y148"/>
      <c r="Z148"/>
      <c r="AA148"/>
      <c r="AB148"/>
      <c r="AC148"/>
      <c r="AD148"/>
    </row>
    <row r="149" spans="1:78" ht="16.5" thickBot="1" x14ac:dyDescent="0.25">
      <c r="A149" s="54" t="str">
        <f>IF(F149&lt;&gt;"",1+MAX($A$6:A148),"")</f>
        <v/>
      </c>
      <c r="B149" s="14"/>
      <c r="C149" s="2"/>
      <c r="D149" s="73"/>
      <c r="E149" s="186"/>
      <c r="F149" s="207"/>
      <c r="G149" s="51"/>
      <c r="H149" s="68"/>
      <c r="I149" s="50"/>
      <c r="J149" s="220"/>
      <c r="K149" s="220"/>
      <c r="L149" s="220"/>
      <c r="M149" s="49"/>
      <c r="N149" s="49"/>
      <c r="O149" s="49"/>
      <c r="P149" s="48"/>
      <c r="Q149" s="75"/>
      <c r="R149" s="47"/>
      <c r="S149" s="12"/>
      <c r="T149"/>
      <c r="U149"/>
      <c r="V149"/>
      <c r="W149"/>
      <c r="X149"/>
      <c r="Y149"/>
      <c r="Z149"/>
      <c r="AA149"/>
      <c r="AB149"/>
      <c r="AC149"/>
      <c r="AD149"/>
    </row>
    <row r="150" spans="1:78" ht="16.5" thickBot="1" x14ac:dyDescent="0.25">
      <c r="A150" s="54" t="str">
        <f>IF(F150&lt;&gt;"",1+MAX($A$6:A149),"")</f>
        <v/>
      </c>
      <c r="B150" s="14"/>
      <c r="C150" s="74"/>
      <c r="D150" s="73"/>
      <c r="E150" s="72" t="s">
        <v>120</v>
      </c>
      <c r="F150" s="64"/>
      <c r="G150" s="71"/>
      <c r="H150" s="64"/>
      <c r="I150" s="19"/>
      <c r="J150" s="221"/>
      <c r="K150" s="221"/>
      <c r="L150" s="221"/>
      <c r="M150" s="15">
        <f>SUM(M148:M149)</f>
        <v>0</v>
      </c>
      <c r="N150" s="16">
        <f>SUM(N148:N149)</f>
        <v>0</v>
      </c>
      <c r="O150" s="17">
        <f>SUM(O148:O149)</f>
        <v>0</v>
      </c>
      <c r="P150" s="70"/>
      <c r="Q150" s="69"/>
      <c r="R150" s="46">
        <f>SUM(Q148:Q149)</f>
        <v>0</v>
      </c>
      <c r="S150" s="12"/>
      <c r="T150" s="23">
        <f>M150+N150+O150-R150</f>
        <v>0</v>
      </c>
      <c r="U150"/>
      <c r="V150"/>
      <c r="W150"/>
      <c r="X150"/>
      <c r="Y150"/>
      <c r="Z150"/>
      <c r="AA150"/>
      <c r="AB150"/>
      <c r="AC150"/>
      <c r="AD150"/>
    </row>
    <row r="151" spans="1:78" s="24" customFormat="1" ht="16.5" thickBot="1" x14ac:dyDescent="0.25">
      <c r="A151" s="54" t="str">
        <f>IF(F151&lt;&gt;"",1+MAX($A$6:A150),"")</f>
        <v/>
      </c>
      <c r="B151" s="4"/>
      <c r="C151" s="2"/>
      <c r="D151" s="66"/>
      <c r="E151" s="5"/>
      <c r="F151" s="65"/>
      <c r="G151" s="26"/>
      <c r="H151" s="65"/>
      <c r="I151" s="27"/>
      <c r="J151" s="222"/>
      <c r="K151" s="223"/>
      <c r="L151" s="223"/>
      <c r="M151" s="28"/>
      <c r="N151" s="28"/>
      <c r="O151" s="28"/>
      <c r="P151" s="28"/>
      <c r="Q151" s="30"/>
      <c r="R151" s="29"/>
      <c r="S151" s="12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</row>
    <row r="152" spans="1:78" ht="19.5" thickBot="1" x14ac:dyDescent="0.25">
      <c r="A152" s="54" t="str">
        <f>IF(F152&lt;&gt;"",1+MAX($A$6:A151),"")</f>
        <v/>
      </c>
      <c r="B152" s="198" t="s">
        <v>209</v>
      </c>
      <c r="C152" s="81"/>
      <c r="D152" s="81"/>
      <c r="E152" s="78" t="s">
        <v>178</v>
      </c>
      <c r="F152" s="80"/>
      <c r="G152" s="80"/>
      <c r="H152" s="78"/>
      <c r="I152" s="78"/>
      <c r="J152" s="224"/>
      <c r="K152" s="224"/>
      <c r="L152" s="224"/>
      <c r="M152" s="78"/>
      <c r="N152" s="78"/>
      <c r="O152" s="78"/>
      <c r="P152" s="79"/>
      <c r="Q152" s="78"/>
      <c r="R152" s="77"/>
      <c r="S152" s="77"/>
      <c r="T152" s="76"/>
      <c r="U152" s="76"/>
      <c r="V152" s="76"/>
      <c r="W152" s="76"/>
      <c r="X152" s="76"/>
      <c r="Y152"/>
      <c r="Z152"/>
      <c r="AA152"/>
      <c r="AB152"/>
      <c r="AC152"/>
      <c r="AD152"/>
    </row>
    <row r="153" spans="1:78" x14ac:dyDescent="0.2">
      <c r="A153" s="54">
        <f>IF(F153&lt;&gt;"",1+MAX($A$6:A152),"")</f>
        <v>42</v>
      </c>
      <c r="B153" s="206" t="s">
        <v>107</v>
      </c>
      <c r="C153" s="206" t="s">
        <v>116</v>
      </c>
      <c r="D153" s="197"/>
      <c r="E153" s="199" t="s">
        <v>179</v>
      </c>
      <c r="F153" s="120">
        <v>40</v>
      </c>
      <c r="G153" s="22">
        <v>0.1</v>
      </c>
      <c r="H153" s="67">
        <f>F153*(1+G153)</f>
        <v>44</v>
      </c>
      <c r="I153" s="112" t="s">
        <v>23</v>
      </c>
      <c r="J153" s="229">
        <v>0</v>
      </c>
      <c r="K153" s="229">
        <v>0</v>
      </c>
      <c r="L153" s="219">
        <v>0</v>
      </c>
      <c r="M153" s="123">
        <f>(J153*H153)</f>
        <v>0</v>
      </c>
      <c r="N153" s="123">
        <f>K153*H153</f>
        <v>0</v>
      </c>
      <c r="O153" s="123">
        <f>L153*H153</f>
        <v>0</v>
      </c>
      <c r="P153" s="124">
        <f>(L153+K153+J153)</f>
        <v>0</v>
      </c>
      <c r="Q153" s="125">
        <f>P153*H153</f>
        <v>0</v>
      </c>
      <c r="R153" s="47"/>
      <c r="S153" s="12">
        <f>H153*K153</f>
        <v>0</v>
      </c>
      <c r="T153"/>
      <c r="U153"/>
      <c r="V153"/>
      <c r="W153"/>
      <c r="X153"/>
      <c r="Y153"/>
      <c r="Z153"/>
      <c r="AA153"/>
      <c r="AB153"/>
      <c r="AC153"/>
      <c r="AD153"/>
    </row>
    <row r="154" spans="1:78" ht="32.25" thickBot="1" x14ac:dyDescent="0.25">
      <c r="A154" s="54" t="str">
        <f>IF(F154&lt;&gt;"",1+MAX($A$6:A153),"")</f>
        <v/>
      </c>
      <c r="B154" s="14"/>
      <c r="C154" s="2"/>
      <c r="D154" s="73"/>
      <c r="E154" s="186" t="s">
        <v>177</v>
      </c>
      <c r="F154" s="207"/>
      <c r="G154" s="51"/>
      <c r="H154" s="68"/>
      <c r="I154" s="50"/>
      <c r="J154" s="220"/>
      <c r="K154" s="220"/>
      <c r="L154" s="220"/>
      <c r="M154" s="49"/>
      <c r="N154" s="49"/>
      <c r="O154" s="49"/>
      <c r="P154" s="48"/>
      <c r="Q154" s="75"/>
      <c r="R154" s="47"/>
      <c r="S154" s="12"/>
      <c r="T154"/>
      <c r="U154"/>
      <c r="V154"/>
      <c r="W154"/>
      <c r="X154"/>
      <c r="Y154"/>
      <c r="Z154"/>
      <c r="AA154"/>
      <c r="AB154"/>
      <c r="AC154"/>
      <c r="AD154"/>
    </row>
    <row r="155" spans="1:78" ht="16.5" thickBot="1" x14ac:dyDescent="0.25">
      <c r="A155" s="54" t="str">
        <f>IF(F155&lt;&gt;"",1+MAX($A$6:A154),"")</f>
        <v/>
      </c>
      <c r="B155" s="14"/>
      <c r="C155" s="74"/>
      <c r="D155" s="73"/>
      <c r="E155" s="72" t="s">
        <v>180</v>
      </c>
      <c r="F155" s="64"/>
      <c r="G155" s="71"/>
      <c r="H155" s="64"/>
      <c r="I155" s="19"/>
      <c r="J155" s="221"/>
      <c r="K155" s="221"/>
      <c r="L155" s="221"/>
      <c r="M155" s="15">
        <f>SUM(M153:M154)</f>
        <v>0</v>
      </c>
      <c r="N155" s="16">
        <f>SUM(N153:N154)</f>
        <v>0</v>
      </c>
      <c r="O155" s="17">
        <f>SUM(O153:O154)</f>
        <v>0</v>
      </c>
      <c r="P155" s="70"/>
      <c r="Q155" s="69"/>
      <c r="R155" s="46">
        <f>SUM(Q153:Q154)</f>
        <v>0</v>
      </c>
      <c r="S155" s="12"/>
      <c r="T155" s="23">
        <f>M155+N155+O155-R155</f>
        <v>0</v>
      </c>
      <c r="U155"/>
      <c r="V155"/>
      <c r="W155"/>
      <c r="X155"/>
      <c r="Y155"/>
      <c r="Z155"/>
      <c r="AA155"/>
      <c r="AB155"/>
      <c r="AC155"/>
      <c r="AD155"/>
    </row>
    <row r="156" spans="1:78" s="24" customFormat="1" ht="16.5" thickBot="1" x14ac:dyDescent="0.25">
      <c r="A156" s="54" t="str">
        <f>IF(F156&lt;&gt;"",1+MAX($A$6:A155),"")</f>
        <v/>
      </c>
      <c r="B156" s="4"/>
      <c r="C156" s="2"/>
      <c r="D156" s="66"/>
      <c r="E156" s="5"/>
      <c r="F156" s="65"/>
      <c r="G156" s="26"/>
      <c r="H156" s="65"/>
      <c r="I156" s="27"/>
      <c r="J156" s="222"/>
      <c r="K156" s="223"/>
      <c r="L156" s="223"/>
      <c r="M156" s="28"/>
      <c r="N156" s="28"/>
      <c r="O156" s="28"/>
      <c r="P156" s="28"/>
      <c r="Q156" s="30"/>
      <c r="R156" s="29"/>
      <c r="S156" s="12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</row>
    <row r="157" spans="1:78" ht="19.5" thickBot="1" x14ac:dyDescent="0.25">
      <c r="A157" s="54" t="str">
        <f>IF(F157&lt;&gt;"",1+MAX($A$6:A156),"")</f>
        <v/>
      </c>
      <c r="B157" s="198" t="s">
        <v>210</v>
      </c>
      <c r="C157" s="81"/>
      <c r="D157" s="81"/>
      <c r="E157" s="78" t="s">
        <v>121</v>
      </c>
      <c r="F157" s="80"/>
      <c r="G157" s="80"/>
      <c r="H157" s="78"/>
      <c r="I157" s="78"/>
      <c r="J157" s="224"/>
      <c r="K157" s="224"/>
      <c r="L157" s="224"/>
      <c r="M157" s="78"/>
      <c r="N157" s="78"/>
      <c r="O157" s="78"/>
      <c r="P157" s="79"/>
      <c r="Q157" s="78"/>
      <c r="R157" s="77"/>
      <c r="S157" s="77"/>
      <c r="T157" s="76"/>
      <c r="U157" s="76"/>
      <c r="V157" s="76"/>
      <c r="W157" s="76"/>
      <c r="X157" s="76"/>
      <c r="Y157"/>
      <c r="Z157"/>
      <c r="AA157"/>
      <c r="AB157"/>
      <c r="AC157"/>
      <c r="AD157"/>
    </row>
    <row r="158" spans="1:78" x14ac:dyDescent="0.2">
      <c r="A158" s="54">
        <f>IF(F158&lt;&gt;"",1+MAX($A$6:A157),"")</f>
        <v>43</v>
      </c>
      <c r="B158" s="206" t="s">
        <v>107</v>
      </c>
      <c r="C158" s="206" t="s">
        <v>116</v>
      </c>
      <c r="D158" s="197"/>
      <c r="E158" s="199" t="s">
        <v>122</v>
      </c>
      <c r="F158" s="120">
        <v>1</v>
      </c>
      <c r="G158" s="22">
        <v>0</v>
      </c>
      <c r="H158" s="67">
        <f>F158*(1+G158)</f>
        <v>1</v>
      </c>
      <c r="I158" s="112" t="s">
        <v>22</v>
      </c>
      <c r="J158" s="229">
        <v>0</v>
      </c>
      <c r="K158" s="229">
        <v>0</v>
      </c>
      <c r="L158" s="219">
        <v>0</v>
      </c>
      <c r="M158" s="123">
        <f>(J158*H158)</f>
        <v>0</v>
      </c>
      <c r="N158" s="123">
        <f>K158*H158</f>
        <v>0</v>
      </c>
      <c r="O158" s="123">
        <f>L158*H158</f>
        <v>0</v>
      </c>
      <c r="P158" s="124">
        <f>(L158+K158+J158)</f>
        <v>0</v>
      </c>
      <c r="Q158" s="125">
        <f>P158*H158</f>
        <v>0</v>
      </c>
      <c r="R158" s="47"/>
      <c r="S158" s="12">
        <f>H158*K158</f>
        <v>0</v>
      </c>
      <c r="T158"/>
      <c r="U158"/>
      <c r="V158"/>
      <c r="W158"/>
      <c r="X158"/>
      <c r="Y158"/>
      <c r="Z158"/>
      <c r="AA158"/>
      <c r="AB158"/>
      <c r="AC158"/>
      <c r="AD158"/>
    </row>
    <row r="159" spans="1:78" ht="16.5" thickBot="1" x14ac:dyDescent="0.25">
      <c r="A159" s="54" t="str">
        <f>IF(F159&lt;&gt;"",1+MAX($A$6:A158),"")</f>
        <v/>
      </c>
      <c r="B159" s="14"/>
      <c r="C159" s="2"/>
      <c r="D159" s="73"/>
      <c r="E159" s="187"/>
      <c r="F159" s="207"/>
      <c r="G159" s="51"/>
      <c r="H159" s="68"/>
      <c r="I159" s="50"/>
      <c r="J159" s="220"/>
      <c r="K159" s="220"/>
      <c r="L159" s="220"/>
      <c r="M159" s="49"/>
      <c r="N159" s="49"/>
      <c r="O159" s="49"/>
      <c r="P159" s="48"/>
      <c r="Q159" s="75"/>
      <c r="R159" s="47"/>
      <c r="S159" s="12"/>
      <c r="T159"/>
      <c r="U159"/>
      <c r="V159"/>
      <c r="W159"/>
      <c r="X159"/>
      <c r="Y159"/>
      <c r="Z159"/>
      <c r="AA159"/>
      <c r="AB159"/>
      <c r="AC159"/>
      <c r="AD159"/>
    </row>
    <row r="160" spans="1:78" ht="16.5" thickBot="1" x14ac:dyDescent="0.25">
      <c r="A160" s="54" t="str">
        <f>IF(F160&lt;&gt;"",1+MAX($A$6:A159),"")</f>
        <v/>
      </c>
      <c r="B160" s="14"/>
      <c r="C160" s="74"/>
      <c r="D160" s="73"/>
      <c r="E160" s="72" t="s">
        <v>123</v>
      </c>
      <c r="F160" s="64"/>
      <c r="G160" s="71"/>
      <c r="H160" s="64"/>
      <c r="I160" s="19"/>
      <c r="J160" s="221"/>
      <c r="K160" s="221"/>
      <c r="L160" s="221"/>
      <c r="M160" s="15">
        <f>SUM(M158:M159)</f>
        <v>0</v>
      </c>
      <c r="N160" s="16">
        <f>SUM(N158:N159)</f>
        <v>0</v>
      </c>
      <c r="O160" s="17">
        <f>SUM(O158:O159)</f>
        <v>0</v>
      </c>
      <c r="P160" s="70"/>
      <c r="Q160" s="69"/>
      <c r="R160" s="46">
        <f>SUM(Q158:Q159)</f>
        <v>0</v>
      </c>
      <c r="S160" s="12"/>
      <c r="T160" s="23">
        <f>M160+N160+O160-R160</f>
        <v>0</v>
      </c>
      <c r="U160"/>
      <c r="V160"/>
      <c r="W160"/>
      <c r="X160"/>
      <c r="Y160"/>
      <c r="Z160"/>
      <c r="AA160"/>
      <c r="AB160"/>
      <c r="AC160"/>
      <c r="AD160"/>
    </row>
    <row r="161" spans="1:78" s="24" customFormat="1" ht="16.5" thickBot="1" x14ac:dyDescent="0.25">
      <c r="A161" s="54" t="str">
        <f>IF(F161&lt;&gt;"",1+MAX($A$6:A160),"")</f>
        <v/>
      </c>
      <c r="B161" s="4"/>
      <c r="C161" s="2"/>
      <c r="D161" s="66"/>
      <c r="E161" s="5"/>
      <c r="F161" s="65"/>
      <c r="G161" s="26"/>
      <c r="H161" s="65"/>
      <c r="I161" s="27"/>
      <c r="J161" s="222"/>
      <c r="K161" s="223"/>
      <c r="L161" s="223"/>
      <c r="M161" s="28"/>
      <c r="N161" s="28"/>
      <c r="O161" s="28"/>
      <c r="P161" s="28"/>
      <c r="Q161" s="30"/>
      <c r="R161" s="29"/>
      <c r="S161" s="12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</row>
    <row r="162" spans="1:78" ht="19.5" thickBot="1" x14ac:dyDescent="0.25">
      <c r="A162" s="54" t="str">
        <f>IF(F162&lt;&gt;"",1+MAX($A$6:A161),"")</f>
        <v/>
      </c>
      <c r="B162" s="198" t="s">
        <v>211</v>
      </c>
      <c r="C162" s="81"/>
      <c r="D162" s="81"/>
      <c r="E162" s="78" t="s">
        <v>124</v>
      </c>
      <c r="F162" s="80"/>
      <c r="G162" s="80"/>
      <c r="H162" s="78"/>
      <c r="I162" s="78"/>
      <c r="J162" s="224"/>
      <c r="K162" s="224"/>
      <c r="L162" s="224"/>
      <c r="M162" s="78"/>
      <c r="N162" s="78"/>
      <c r="O162" s="78"/>
      <c r="P162" s="79"/>
      <c r="Q162" s="78"/>
      <c r="R162" s="77"/>
      <c r="S162" s="77"/>
      <c r="T162" s="76"/>
      <c r="U162" s="76"/>
      <c r="V162" s="76"/>
      <c r="W162" s="76"/>
      <c r="X162" s="76"/>
      <c r="Y162"/>
      <c r="Z162"/>
      <c r="AA162"/>
      <c r="AB162"/>
      <c r="AC162"/>
      <c r="AD162"/>
    </row>
    <row r="163" spans="1:78" x14ac:dyDescent="0.2">
      <c r="A163" s="54">
        <f>IF(F163&lt;&gt;"",1+MAX($A$6:A162),"")</f>
        <v>44</v>
      </c>
      <c r="B163" s="206" t="s">
        <v>107</v>
      </c>
      <c r="C163" s="206" t="s">
        <v>116</v>
      </c>
      <c r="D163" s="197"/>
      <c r="E163" s="199" t="s">
        <v>125</v>
      </c>
      <c r="F163" s="120">
        <v>1</v>
      </c>
      <c r="G163" s="22">
        <v>0</v>
      </c>
      <c r="H163" s="67">
        <f>F163*(1+G163)</f>
        <v>1</v>
      </c>
      <c r="I163" s="112" t="s">
        <v>22</v>
      </c>
      <c r="J163" s="232">
        <v>1000</v>
      </c>
      <c r="K163" s="232">
        <v>450</v>
      </c>
      <c r="L163" s="233">
        <v>0</v>
      </c>
      <c r="M163" s="123">
        <f>(J163*H163)</f>
        <v>1000</v>
      </c>
      <c r="N163" s="123">
        <f>K163*H163</f>
        <v>450</v>
      </c>
      <c r="O163" s="123">
        <f>L163*H163</f>
        <v>0</v>
      </c>
      <c r="P163" s="124">
        <f>(L163+K163+J163)</f>
        <v>1450</v>
      </c>
      <c r="Q163" s="125">
        <f>P163*H163</f>
        <v>1450</v>
      </c>
      <c r="R163" s="47"/>
      <c r="S163" s="12">
        <f>H163*K163</f>
        <v>450</v>
      </c>
      <c r="T163"/>
      <c r="U163"/>
      <c r="V163"/>
      <c r="W163"/>
      <c r="X163"/>
      <c r="Y163"/>
      <c r="Z163"/>
      <c r="AA163"/>
      <c r="AB163"/>
      <c r="AC163"/>
      <c r="AD163"/>
    </row>
    <row r="164" spans="1:78" ht="47.25" x14ac:dyDescent="0.2">
      <c r="A164" s="54">
        <f>IF(F164&lt;&gt;"",1+MAX($A$6:A163),"")</f>
        <v>45</v>
      </c>
      <c r="B164" s="206" t="s">
        <v>107</v>
      </c>
      <c r="C164" s="206" t="s">
        <v>116</v>
      </c>
      <c r="D164" s="217" t="s">
        <v>215</v>
      </c>
      <c r="E164" s="199" t="s">
        <v>140</v>
      </c>
      <c r="F164" s="208">
        <f>0.5*0.5*1*F163/27</f>
        <v>9.2592592592592587E-3</v>
      </c>
      <c r="G164" s="22">
        <v>0.1</v>
      </c>
      <c r="H164" s="209">
        <f>F164*(1+G164)</f>
        <v>1.0185185185185186E-2</v>
      </c>
      <c r="I164" s="112" t="s">
        <v>11</v>
      </c>
      <c r="J164" s="221"/>
      <c r="K164" s="221"/>
      <c r="L164" s="225"/>
      <c r="M164" s="123"/>
      <c r="N164" s="123"/>
      <c r="O164" s="123"/>
      <c r="P164" s="215"/>
      <c r="Q164" s="216"/>
      <c r="R164" s="47"/>
      <c r="S164" s="12">
        <f>H164*K164</f>
        <v>0</v>
      </c>
      <c r="T164"/>
      <c r="U164"/>
      <c r="V164"/>
      <c r="W164"/>
      <c r="X164"/>
      <c r="Y164"/>
      <c r="Z164"/>
      <c r="AA164"/>
      <c r="AB164"/>
      <c r="AC164"/>
      <c r="AD164"/>
    </row>
    <row r="165" spans="1:78" ht="47.25" x14ac:dyDescent="0.2">
      <c r="A165" s="54">
        <f>IF(F165&lt;&gt;"",1+MAX($A$6:A164),"")</f>
        <v>46</v>
      </c>
      <c r="B165" s="206" t="s">
        <v>107</v>
      </c>
      <c r="C165" s="206" t="s">
        <v>116</v>
      </c>
      <c r="D165" s="217" t="s">
        <v>215</v>
      </c>
      <c r="E165" s="199" t="s">
        <v>171</v>
      </c>
      <c r="F165" s="210">
        <f>1*1*2*F163/27</f>
        <v>7.407407407407407E-2</v>
      </c>
      <c r="G165" s="22">
        <v>0.1</v>
      </c>
      <c r="H165" s="209">
        <f>F165*(1+G165)</f>
        <v>8.1481481481481488E-2</v>
      </c>
      <c r="I165" s="112" t="s">
        <v>11</v>
      </c>
      <c r="J165" s="221"/>
      <c r="K165" s="221"/>
      <c r="L165" s="225"/>
      <c r="M165" s="123"/>
      <c r="N165" s="123"/>
      <c r="O165" s="123"/>
      <c r="P165" s="215"/>
      <c r="Q165" s="216"/>
      <c r="R165" s="47"/>
      <c r="S165" s="12">
        <f>H165*K165</f>
        <v>0</v>
      </c>
      <c r="T165"/>
      <c r="U165"/>
      <c r="V165"/>
      <c r="W165"/>
      <c r="X165"/>
      <c r="Y165"/>
      <c r="Z165"/>
      <c r="AA165"/>
      <c r="AB165"/>
      <c r="AC165"/>
      <c r="AD165"/>
    </row>
    <row r="166" spans="1:78" ht="47.25" x14ac:dyDescent="0.2">
      <c r="A166" s="54">
        <f>IF(F166&lt;&gt;"",1+MAX($A$6:A165),"")</f>
        <v>47</v>
      </c>
      <c r="B166" s="206" t="s">
        <v>107</v>
      </c>
      <c r="C166" s="206" t="s">
        <v>116</v>
      </c>
      <c r="D166" s="217" t="s">
        <v>215</v>
      </c>
      <c r="E166" s="199" t="s">
        <v>169</v>
      </c>
      <c r="F166" s="120">
        <f>0.5*4*1*F163</f>
        <v>2</v>
      </c>
      <c r="G166" s="22">
        <v>0.1</v>
      </c>
      <c r="H166" s="209">
        <f>F166*(1+G166)</f>
        <v>2.2000000000000002</v>
      </c>
      <c r="I166" s="112" t="s">
        <v>170</v>
      </c>
      <c r="J166" s="221"/>
      <c r="K166" s="221"/>
      <c r="L166" s="225"/>
      <c r="M166" s="123"/>
      <c r="N166" s="123"/>
      <c r="O166" s="123"/>
      <c r="P166" s="215"/>
      <c r="Q166" s="216"/>
      <c r="R166" s="47"/>
      <c r="S166" s="12">
        <f>H166*K166</f>
        <v>0</v>
      </c>
      <c r="T166"/>
      <c r="U166"/>
      <c r="V166"/>
      <c r="W166"/>
      <c r="X166"/>
      <c r="Y166"/>
      <c r="Z166"/>
      <c r="AA166"/>
      <c r="AB166"/>
      <c r="AC166"/>
      <c r="AD166"/>
    </row>
    <row r="167" spans="1:78" ht="47.25" x14ac:dyDescent="0.2">
      <c r="A167" s="54">
        <f>IF(F167&lt;&gt;"",1+MAX($A$6:A166),"")</f>
        <v>48</v>
      </c>
      <c r="B167" s="206" t="s">
        <v>107</v>
      </c>
      <c r="C167" s="206" t="s">
        <v>116</v>
      </c>
      <c r="D167" s="217" t="s">
        <v>215</v>
      </c>
      <c r="E167" s="199" t="s">
        <v>172</v>
      </c>
      <c r="F167" s="208">
        <f>F165-F164</f>
        <v>6.4814814814814811E-2</v>
      </c>
      <c r="G167" s="22">
        <v>0.1</v>
      </c>
      <c r="H167" s="209">
        <f>F167*(1+G167)</f>
        <v>7.1296296296296302E-2</v>
      </c>
      <c r="I167" s="112" t="s">
        <v>170</v>
      </c>
      <c r="J167" s="221"/>
      <c r="K167" s="221"/>
      <c r="L167" s="225"/>
      <c r="M167" s="123"/>
      <c r="N167" s="123"/>
      <c r="O167" s="123"/>
      <c r="P167" s="215"/>
      <c r="Q167" s="216"/>
      <c r="R167" s="47"/>
      <c r="S167" s="12">
        <f>H167*K167</f>
        <v>0</v>
      </c>
      <c r="T167"/>
      <c r="U167"/>
      <c r="V167"/>
      <c r="W167"/>
      <c r="X167"/>
      <c r="Y167"/>
      <c r="Z167"/>
      <c r="AA167"/>
      <c r="AB167"/>
      <c r="AC167"/>
      <c r="AD167"/>
    </row>
    <row r="168" spans="1:78" ht="16.5" thickBot="1" x14ac:dyDescent="0.25">
      <c r="A168" s="54" t="str">
        <f>IF(F168&lt;&gt;"",1+MAX($A$6:A167),"")</f>
        <v/>
      </c>
      <c r="B168" s="14"/>
      <c r="C168" s="2"/>
      <c r="D168" s="73"/>
      <c r="E168" s="187"/>
      <c r="F168" s="207"/>
      <c r="G168" s="51"/>
      <c r="H168" s="68"/>
      <c r="I168" s="50"/>
      <c r="J168" s="220"/>
      <c r="K168" s="220"/>
      <c r="L168" s="220"/>
      <c r="M168" s="49"/>
      <c r="N168" s="49"/>
      <c r="O168" s="49"/>
      <c r="P168" s="48"/>
      <c r="Q168" s="75"/>
      <c r="R168" s="47"/>
      <c r="S168" s="12"/>
      <c r="T168"/>
      <c r="U168"/>
      <c r="V168"/>
      <c r="W168"/>
      <c r="X168"/>
      <c r="Y168"/>
      <c r="Z168"/>
      <c r="AA168"/>
      <c r="AB168"/>
      <c r="AC168"/>
      <c r="AD168"/>
    </row>
    <row r="169" spans="1:78" ht="16.5" thickBot="1" x14ac:dyDescent="0.25">
      <c r="A169" s="54" t="str">
        <f>IF(F169&lt;&gt;"",1+MAX($A$6:A168),"")</f>
        <v/>
      </c>
      <c r="B169" s="14"/>
      <c r="C169" s="74"/>
      <c r="D169" s="73"/>
      <c r="E169" s="72" t="s">
        <v>126</v>
      </c>
      <c r="F169" s="64"/>
      <c r="G169" s="71"/>
      <c r="H169" s="64"/>
      <c r="I169" s="19"/>
      <c r="J169" s="221"/>
      <c r="K169" s="221"/>
      <c r="L169" s="221"/>
      <c r="M169" s="15">
        <f>SUM(M163:M168)</f>
        <v>1000</v>
      </c>
      <c r="N169" s="16">
        <f>SUM(N163:N168)</f>
        <v>450</v>
      </c>
      <c r="O169" s="17">
        <f>SUM(O163:O168)</f>
        <v>0</v>
      </c>
      <c r="P169" s="70"/>
      <c r="Q169" s="69"/>
      <c r="R169" s="46">
        <f>SUM(Q163:Q168)</f>
        <v>1450</v>
      </c>
      <c r="S169" s="12"/>
      <c r="T169" s="23">
        <f>M169+N169+O169-R169</f>
        <v>0</v>
      </c>
      <c r="U169"/>
      <c r="V169"/>
      <c r="W169"/>
      <c r="X169"/>
      <c r="Y169"/>
      <c r="Z169"/>
      <c r="AA169"/>
      <c r="AB169"/>
      <c r="AC169"/>
      <c r="AD169"/>
    </row>
    <row r="170" spans="1:78" s="24" customFormat="1" ht="16.5" thickBot="1" x14ac:dyDescent="0.25">
      <c r="A170" s="54" t="str">
        <f>IF(F170&lt;&gt;"",1+MAX($A$6:A169),"")</f>
        <v/>
      </c>
      <c r="B170" s="4"/>
      <c r="C170" s="2"/>
      <c r="D170" s="66"/>
      <c r="E170" s="5"/>
      <c r="F170" s="65"/>
      <c r="G170" s="26"/>
      <c r="H170" s="65"/>
      <c r="I170" s="27"/>
      <c r="J170" s="222"/>
      <c r="K170" s="223"/>
      <c r="L170" s="223"/>
      <c r="M170" s="28"/>
      <c r="N170" s="28"/>
      <c r="O170" s="28"/>
      <c r="P170" s="28"/>
      <c r="Q170" s="30"/>
      <c r="R170" s="29"/>
      <c r="S170" s="12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</row>
    <row r="171" spans="1:78" ht="19.5" thickBot="1" x14ac:dyDescent="0.25">
      <c r="A171" s="54" t="str">
        <f>IF(F171&lt;&gt;"",1+MAX($A$6:A170),"")</f>
        <v/>
      </c>
      <c r="B171" s="198" t="s">
        <v>212</v>
      </c>
      <c r="C171" s="81"/>
      <c r="D171" s="81"/>
      <c r="E171" s="78" t="s">
        <v>127</v>
      </c>
      <c r="F171" s="80"/>
      <c r="G171" s="80"/>
      <c r="H171" s="78"/>
      <c r="I171" s="78"/>
      <c r="J171" s="224"/>
      <c r="K171" s="224"/>
      <c r="L171" s="224"/>
      <c r="M171" s="78"/>
      <c r="N171" s="78"/>
      <c r="O171" s="78"/>
      <c r="P171" s="79"/>
      <c r="Q171" s="78"/>
      <c r="R171" s="77"/>
      <c r="S171" s="77"/>
      <c r="T171" s="76"/>
      <c r="U171" s="76"/>
      <c r="V171" s="76"/>
      <c r="W171" s="76"/>
      <c r="X171" s="76"/>
      <c r="Y171"/>
      <c r="Z171"/>
      <c r="AA171"/>
      <c r="AB171"/>
      <c r="AC171"/>
      <c r="AD171"/>
    </row>
    <row r="172" spans="1:78" ht="31.5" x14ac:dyDescent="0.2">
      <c r="A172" s="54">
        <f>IF(F172&lt;&gt;"",1+MAX($A$6:A171),"")</f>
        <v>49</v>
      </c>
      <c r="B172" s="206" t="s">
        <v>107</v>
      </c>
      <c r="C172" s="206" t="s">
        <v>116</v>
      </c>
      <c r="D172" s="197"/>
      <c r="E172" s="199" t="s">
        <v>141</v>
      </c>
      <c r="F172" s="120">
        <v>1</v>
      </c>
      <c r="G172" s="22">
        <v>0</v>
      </c>
      <c r="H172" s="67">
        <f>F172*(1+G172)</f>
        <v>1</v>
      </c>
      <c r="I172" s="112" t="s">
        <v>16</v>
      </c>
      <c r="J172" s="230">
        <v>0</v>
      </c>
      <c r="K172" s="230">
        <v>0</v>
      </c>
      <c r="L172" s="219">
        <v>0</v>
      </c>
      <c r="M172" s="123">
        <f>(J172*H172)</f>
        <v>0</v>
      </c>
      <c r="N172" s="123">
        <f>K172*H172</f>
        <v>0</v>
      </c>
      <c r="O172" s="123">
        <f>L172*H172</f>
        <v>0</v>
      </c>
      <c r="P172" s="124">
        <f>(L172+K172+J172)</f>
        <v>0</v>
      </c>
      <c r="Q172" s="125">
        <f>P172*H172</f>
        <v>0</v>
      </c>
      <c r="R172" s="47"/>
      <c r="S172" s="12">
        <f>H172*K172</f>
        <v>0</v>
      </c>
      <c r="T172"/>
      <c r="U172"/>
      <c r="V172"/>
      <c r="W172"/>
      <c r="X172"/>
      <c r="Y172"/>
      <c r="Z172"/>
      <c r="AA172"/>
      <c r="AB172"/>
      <c r="AC172"/>
      <c r="AD172"/>
    </row>
    <row r="173" spans="1:78" ht="16.5" thickBot="1" x14ac:dyDescent="0.25">
      <c r="A173" s="54" t="str">
        <f>IF(F173&lt;&gt;"",1+MAX($A$6:A172),"")</f>
        <v/>
      </c>
      <c r="B173" s="14"/>
      <c r="C173" s="2"/>
      <c r="D173" s="73"/>
      <c r="E173" s="187"/>
      <c r="F173" s="207"/>
      <c r="G173" s="51"/>
      <c r="H173" s="68"/>
      <c r="I173" s="50"/>
      <c r="J173" s="220"/>
      <c r="K173" s="220"/>
      <c r="L173" s="220"/>
      <c r="M173" s="49"/>
      <c r="N173" s="49"/>
      <c r="O173" s="49"/>
      <c r="P173" s="48"/>
      <c r="Q173" s="75"/>
      <c r="R173" s="47"/>
      <c r="S173" s="12"/>
      <c r="T173"/>
      <c r="U173"/>
      <c r="V173"/>
      <c r="W173"/>
      <c r="X173"/>
      <c r="Y173"/>
      <c r="Z173"/>
      <c r="AA173"/>
      <c r="AB173"/>
      <c r="AC173"/>
      <c r="AD173"/>
    </row>
    <row r="174" spans="1:78" ht="16.5" thickBot="1" x14ac:dyDescent="0.25">
      <c r="A174" s="54" t="str">
        <f>IF(F174&lt;&gt;"",1+MAX($A$6:A173),"")</f>
        <v/>
      </c>
      <c r="B174" s="14"/>
      <c r="C174" s="74"/>
      <c r="D174" s="73"/>
      <c r="E174" s="72" t="s">
        <v>128</v>
      </c>
      <c r="F174" s="64"/>
      <c r="G174" s="71"/>
      <c r="H174" s="64"/>
      <c r="I174" s="19"/>
      <c r="J174" s="221"/>
      <c r="K174" s="221"/>
      <c r="L174" s="221"/>
      <c r="M174" s="15">
        <f>SUM(M172:M173)</f>
        <v>0</v>
      </c>
      <c r="N174" s="16">
        <f>SUM(N172:N173)</f>
        <v>0</v>
      </c>
      <c r="O174" s="17">
        <f>SUM(O172:O173)</f>
        <v>0</v>
      </c>
      <c r="P174" s="70"/>
      <c r="Q174" s="69"/>
      <c r="R174" s="46">
        <f>SUM(Q172:Q173)</f>
        <v>0</v>
      </c>
      <c r="S174" s="12"/>
      <c r="T174" s="23">
        <f>M174+N174+O174-R174</f>
        <v>0</v>
      </c>
      <c r="U174"/>
      <c r="V174"/>
      <c r="W174"/>
      <c r="X174"/>
      <c r="Y174"/>
      <c r="Z174"/>
      <c r="AA174"/>
      <c r="AB174"/>
      <c r="AC174"/>
      <c r="AD174"/>
    </row>
    <row r="175" spans="1:78" s="24" customFormat="1" x14ac:dyDescent="0.2">
      <c r="A175" s="54" t="str">
        <f>IF(F175&lt;&gt;"",1+MAX($A$6:A174),"")</f>
        <v/>
      </c>
      <c r="B175" s="4"/>
      <c r="C175" s="2"/>
      <c r="D175" s="66"/>
      <c r="E175" s="5"/>
      <c r="F175" s="65"/>
      <c r="G175" s="26"/>
      <c r="H175" s="65"/>
      <c r="I175" s="27"/>
      <c r="J175" s="222"/>
      <c r="K175" s="223"/>
      <c r="L175" s="223"/>
      <c r="M175" s="28"/>
      <c r="N175" s="28"/>
      <c r="O175" s="28"/>
      <c r="P175" s="28"/>
      <c r="Q175" s="30"/>
      <c r="R175" s="29"/>
      <c r="S175" s="12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</row>
    <row r="176" spans="1:78" s="24" customFormat="1" ht="16.5" thickBot="1" x14ac:dyDescent="0.25">
      <c r="A176" s="54" t="str">
        <f>IF(F176&lt;&gt;"",1+MAX($A$6:A175),"")</f>
        <v/>
      </c>
      <c r="B176" s="4"/>
      <c r="C176" s="2"/>
      <c r="D176" s="66"/>
      <c r="E176" s="21"/>
      <c r="F176" s="65"/>
      <c r="G176" s="26"/>
      <c r="H176" s="65"/>
      <c r="I176" s="27"/>
      <c r="J176" s="222"/>
      <c r="K176" s="223"/>
      <c r="L176" s="223"/>
      <c r="M176" s="28"/>
      <c r="N176" s="28"/>
      <c r="O176" s="28"/>
      <c r="P176" s="28"/>
      <c r="Q176" s="30"/>
      <c r="R176" s="29"/>
      <c r="S176" s="12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</row>
    <row r="177" spans="1:30" ht="45.75" thickBot="1" x14ac:dyDescent="0.25">
      <c r="A177" s="54" t="str">
        <f>IF(F177&lt;&gt;"",1+MAX($A$6:A176),"")</f>
        <v/>
      </c>
      <c r="B177" s="53"/>
      <c r="C177" s="52"/>
      <c r="D177" s="60"/>
      <c r="E177" s="59"/>
      <c r="F177" s="13"/>
      <c r="G177" s="58"/>
      <c r="H177" s="13"/>
      <c r="I177" s="14"/>
      <c r="J177" s="222"/>
      <c r="K177" s="222"/>
      <c r="L177" s="226"/>
      <c r="M177" s="63" t="s">
        <v>18</v>
      </c>
      <c r="N177" s="63" t="s">
        <v>19</v>
      </c>
      <c r="O177" s="62" t="s">
        <v>20</v>
      </c>
      <c r="P177" s="56"/>
      <c r="Q177" s="61"/>
      <c r="R177" s="45"/>
      <c r="S177" s="12"/>
      <c r="T177"/>
      <c r="U177"/>
      <c r="V177"/>
      <c r="W177"/>
      <c r="X177"/>
      <c r="Y177"/>
      <c r="Z177"/>
      <c r="AA177"/>
      <c r="AB177"/>
      <c r="AC177"/>
      <c r="AD177"/>
    </row>
    <row r="178" spans="1:30" ht="16.5" thickBot="1" x14ac:dyDescent="0.25">
      <c r="A178" s="54" t="str">
        <f>IF(F178&lt;&gt;"",1+MAX($A$6:A177),"")</f>
        <v/>
      </c>
      <c r="B178" s="53"/>
      <c r="C178" s="52"/>
      <c r="D178" s="60"/>
      <c r="E178" s="59"/>
      <c r="F178" s="13"/>
      <c r="G178" s="58"/>
      <c r="H178" s="13"/>
      <c r="I178" s="14"/>
      <c r="J178" s="222"/>
      <c r="K178" s="222"/>
      <c r="L178" s="226"/>
      <c r="M178" s="57">
        <f>SUM(M8:M177)/2</f>
        <v>356131.884209037</v>
      </c>
      <c r="N178" s="57">
        <f>SUM(N8:N177)/2</f>
        <v>179522.1042617778</v>
      </c>
      <c r="O178" s="57">
        <f>SUM(O8:O177)/2</f>
        <v>0</v>
      </c>
      <c r="P178" s="56"/>
      <c r="Q178" s="55"/>
      <c r="R178" s="45"/>
      <c r="S178" s="12"/>
      <c r="T178" s="23">
        <f>M178+N178+O178-R179</f>
        <v>0</v>
      </c>
      <c r="U178"/>
      <c r="V178"/>
      <c r="W178"/>
      <c r="X178"/>
      <c r="Y178"/>
      <c r="Z178"/>
      <c r="AA178"/>
      <c r="AB178"/>
      <c r="AC178"/>
      <c r="AD178"/>
    </row>
    <row r="179" spans="1:30" ht="16.5" thickBot="1" x14ac:dyDescent="0.25">
      <c r="A179" s="109" t="s">
        <v>17</v>
      </c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1"/>
      <c r="Q179" s="46">
        <f>SUM(Q8:Q178)</f>
        <v>535653.98847081477</v>
      </c>
      <c r="R179" s="46">
        <f>SUM(R7:R178)</f>
        <v>535653.98847081477</v>
      </c>
      <c r="S179" s="46">
        <f>SUM(S176:S178)</f>
        <v>0</v>
      </c>
      <c r="T179"/>
      <c r="U179"/>
      <c r="V179"/>
      <c r="W179"/>
      <c r="X179"/>
      <c r="Y179"/>
      <c r="Z179"/>
      <c r="AA179"/>
      <c r="AB179"/>
      <c r="AC179"/>
      <c r="AD179"/>
    </row>
    <row r="180" spans="1:30" ht="16.5" thickBot="1" x14ac:dyDescent="0.25">
      <c r="A180" s="114" t="s">
        <v>29</v>
      </c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1"/>
      <c r="P180" s="116">
        <v>0.35</v>
      </c>
      <c r="Q180" s="117">
        <f>P180*Q179</f>
        <v>187478.89596478516</v>
      </c>
      <c r="R180" s="45"/>
      <c r="S180"/>
      <c r="T180"/>
      <c r="U180"/>
      <c r="V180"/>
      <c r="W180"/>
      <c r="X180"/>
      <c r="Y180"/>
      <c r="Z180"/>
      <c r="AA180"/>
      <c r="AB180"/>
      <c r="AC180"/>
      <c r="AD180"/>
    </row>
    <row r="181" spans="1:30" ht="16.5" thickBot="1" x14ac:dyDescent="0.25">
      <c r="A181" s="115" t="s">
        <v>30</v>
      </c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1"/>
      <c r="P181" s="116">
        <v>0.1</v>
      </c>
      <c r="Q181" s="117">
        <f>P181*M178</f>
        <v>35613.188420903702</v>
      </c>
      <c r="R181" s="45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ht="21" customHeight="1" thickBot="1" x14ac:dyDescent="0.25">
      <c r="A182" s="189" t="s">
        <v>31</v>
      </c>
      <c r="B182" s="190"/>
      <c r="C182" s="190"/>
      <c r="D182" s="190"/>
      <c r="E182" s="190"/>
      <c r="F182" s="190"/>
      <c r="G182" s="190"/>
      <c r="H182" s="190"/>
      <c r="I182" s="190"/>
      <c r="J182" s="190"/>
      <c r="K182" s="190"/>
      <c r="L182" s="190"/>
      <c r="M182" s="190"/>
      <c r="N182" s="190"/>
      <c r="O182" s="190"/>
      <c r="P182" s="191"/>
      <c r="Q182" s="192">
        <f>SUM(Q179:Q181)</f>
        <v>758746.07285650366</v>
      </c>
      <c r="R182" s="193"/>
      <c r="S182"/>
      <c r="T182"/>
      <c r="U182"/>
      <c r="V182"/>
      <c r="W182"/>
      <c r="X182"/>
      <c r="Y182"/>
      <c r="Z182"/>
      <c r="AA182"/>
      <c r="AB182"/>
      <c r="AC182"/>
      <c r="AD182"/>
    </row>
    <row r="183" spans="1:30" x14ac:dyDescent="0.2">
      <c r="A183" s="242" t="s">
        <v>236</v>
      </c>
      <c r="B183" s="241"/>
      <c r="C183" s="234"/>
      <c r="D183" s="234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5"/>
      <c r="P183" s="235"/>
      <c r="Q183" s="235"/>
      <c r="R183" s="236"/>
      <c r="S183"/>
      <c r="T183"/>
      <c r="U183"/>
      <c r="V183"/>
      <c r="W183"/>
      <c r="X183"/>
      <c r="Y183"/>
      <c r="Z183"/>
      <c r="AA183"/>
      <c r="AB183"/>
      <c r="AC183"/>
      <c r="AD183"/>
    </row>
    <row r="184" spans="1:30" ht="16.5" thickBot="1" x14ac:dyDescent="0.25">
      <c r="A184" s="243"/>
      <c r="B184" s="237" t="s">
        <v>225</v>
      </c>
      <c r="C184" s="237"/>
      <c r="D184" s="238"/>
      <c r="E184" s="239"/>
      <c r="F184" s="239"/>
      <c r="G184" s="239"/>
      <c r="H184" s="239"/>
      <c r="I184" s="239"/>
      <c r="J184" s="239"/>
      <c r="K184" s="239"/>
      <c r="L184" s="239"/>
      <c r="M184" s="239"/>
      <c r="N184" s="239"/>
      <c r="O184" s="239"/>
      <c r="P184" s="239"/>
      <c r="Q184" s="239"/>
      <c r="R184" s="240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x14ac:dyDescent="0.2">
      <c r="A185" s="20"/>
      <c r="B185" s="44"/>
      <c r="C185" s="44"/>
      <c r="D185" s="43"/>
      <c r="E185" s="42"/>
    </row>
    <row r="186" spans="1:30" x14ac:dyDescent="0.2">
      <c r="A186" s="20"/>
      <c r="B186" s="44"/>
      <c r="C186" s="44"/>
      <c r="D186" s="43"/>
      <c r="E186" s="42"/>
    </row>
    <row r="187" spans="1:30" x14ac:dyDescent="0.2">
      <c r="A187" s="20"/>
      <c r="B187" s="44"/>
      <c r="C187" s="44"/>
      <c r="D187" s="43"/>
      <c r="E187" s="42"/>
    </row>
    <row r="188" spans="1:30" x14ac:dyDescent="0.2">
      <c r="A188" s="20"/>
      <c r="B188" s="44"/>
      <c r="C188" s="44"/>
      <c r="D188" s="43"/>
      <c r="E188" s="42"/>
    </row>
    <row r="189" spans="1:30" x14ac:dyDescent="0.2">
      <c r="A189" s="20"/>
      <c r="B189" s="44"/>
      <c r="C189" s="44"/>
      <c r="D189" s="43"/>
      <c r="E189" s="42"/>
    </row>
    <row r="190" spans="1:30" x14ac:dyDescent="0.2">
      <c r="A190" s="20"/>
      <c r="B190" s="44"/>
      <c r="C190" s="44"/>
      <c r="D190" s="43"/>
      <c r="E190" s="42"/>
    </row>
  </sheetData>
  <pageMargins left="0.25" right="0.25" top="0.75" bottom="0.75" header="0.3" footer="0.3"/>
  <pageSetup paperSize="9" scale="55" fitToHeight="0" orientation="landscape" r:id="rId1"/>
  <headerFoot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PRICE SUMMARY</vt:lpstr>
      <vt:lpstr>DETAILED ESTIMATE</vt:lpstr>
      <vt:lpstr>'DETAILED ESTIMATE'!Print_Area</vt:lpstr>
      <vt:lpstr>'PRICE SUMMARY'!Print_Area</vt:lpstr>
      <vt:lpstr>'DETAILED ESTIMATE'!Print_Titles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2023-05-08T20:54:01Z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</Properties>
</file>