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5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Seed Ask" sheetId="2" state="visible" r:id="rId4"/>
    <sheet name="Business Plan" sheetId="3" state="visible" r:id="rId5"/>
    <sheet name="Revenue Model" sheetId="4" state="visible" r:id="rId6"/>
    <sheet name="Labor &amp; Wages3" sheetId="5" state="visible" r:id="rId7"/>
    <sheet name="Grants &amp; Incentives2" sheetId="6" state="visible" r:id="rId8"/>
    <sheet name="Labor &amp; Wages2" sheetId="7" state="visible" r:id="rId9"/>
    <sheet name="Grants &amp; Incentives1" sheetId="8" state="visible" r:id="rId10"/>
    <sheet name="Labor &amp; Wages1" sheetId="9" state="visible" r:id="rId11"/>
    <sheet name="Grants &amp; Incentives" sheetId="10" state="visible" r:id="rId12"/>
    <sheet name="Labor &amp; Wages" sheetId="11" state="visible" r:id="rId13"/>
    <sheet name="Roadmap" sheetId="12" state="visible" r:id="rId14"/>
    <sheet name="Timeline" sheetId="13" state="visible" r:id="rId15"/>
    <sheet name="Property Facts" sheetId="14" state="visible" r:id="rId16"/>
    <sheet name="Charts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<sst xmlns="http://schemas.openxmlformats.org/spreadsheetml/2006/main" count="378" uniqueCount="275">
  <si>
    <t xml:space="preserve">THE CHAPEL</t>
  </si>
  <si>
    <t xml:space="preserve">HEX6-BLE Regenerative Intelligence Prototype — Evrica Technologies Inc.</t>
  </si>
  <si>
    <t xml:space="preserve">4084 Oakwood Dr, Fairfield, CA 94534 (Solano County) — a 1960 former church, MLS #325097043, listed $429,000</t>
  </si>
  <si>
    <t xml:space="preserve">CAPITAL ASK</t>
  </si>
  <si>
    <t xml:space="preserve">THE FOUR-LAYER BUSINESS</t>
  </si>
  <si>
    <t xml:space="preserve">01 — Software</t>
  </si>
  <si>
    <t xml:space="preserve">HEX6-BLE / PI-US $19.99/mo consumer subscription — scales globally, no physical footprint</t>
  </si>
  <si>
    <t xml:space="preserve">02 — Intelligence Hardware</t>
  </si>
  <si>
    <t xml:space="preserve">HEX6-BLE Engine — standalone edge node sold independently of real estate</t>
  </si>
  <si>
    <t xml:space="preserve">03 — Regenerative Infrastructure</t>
  </si>
  <si>
    <t xml:space="preserve">HEX6 Greenhouse — design/build package sold to hotels, farms, wineries, schools</t>
  </si>
  <si>
    <t xml:space="preserve">04 — The Chapel</t>
  </si>
  <si>
    <t xml:space="preserve">The flagship physical prototype — property + greenhouse + housing + farm + lab</t>
  </si>
  <si>
    <t xml:space="preserve">WHAT'S IN THIS WORKBOOK</t>
  </si>
  <si>
    <t xml:space="preserve">•  Seed Ask — full development budget, sourced line by line, formula-driven total</t>
  </si>
  <si>
    <t xml:space="preserve">•  Revenue Model — all four business layers with scenario tables</t>
  </si>
  <si>
    <t xml:space="preserve">•  Roadmap — the phased Arc from Phase 1 (this property) through Phase 4 (pre-IPO network)</t>
  </si>
  <si>
    <t xml:space="preserve">•  Timeline — month-by-month schedule from today (Sep 15, 2026)</t>
  </si>
  <si>
    <t xml:space="preserve">•  Property Facts — verified against the live MLS listing, with open discrepancies flagged</t>
  </si>
  <si>
    <t xml:space="preserve">•  Charts — budget breakdown and revenue growth, visualized</t>
  </si>
  <si>
    <t xml:space="preserve">All figures are planning-level estimates. Construction bids, zoning confirmation, appraisal, and legal/securities review are still required before this is an investment-grade pro forma.</t>
  </si>
  <si>
    <t xml:space="preserve">SEED ASK — DEVELOPMENT BUDGET</t>
  </si>
  <si>
    <t xml:space="preserve">Component</t>
  </si>
  <si>
    <t xml:space="preserve">Planning Budget</t>
  </si>
  <si>
    <t xml:space="preserve">% of Total</t>
  </si>
  <si>
    <t xml:space="preserve">Source / Note</t>
  </si>
  <si>
    <t xml:space="preserve">Property acquisition (actual list price)</t>
  </si>
  <si>
    <t xml:space="preserve">MLS #325097043, Coldwell Banker / Stumbaugh Realty, verified live listing, Sep 2026</t>
  </si>
  <si>
    <t xml:space="preserve">Acquisition / legal / due diligence / closing</t>
  </si>
  <si>
    <t xml:space="preserve">Planning allowance; typical CA closing costs run ~2-3% of price (~$9-13K) — this leaves room for extras</t>
  </si>
  <si>
    <t xml:space="preserve">Full interior renovation</t>
  </si>
  <si>
    <t xml:space="preserve">SQFT UNVERIFIED: live listing shows 2,000 SF; a separate data report showed 2,832 SF. Confirm before finalizing — this is the single largest line item</t>
  </si>
  <si>
    <t xml:space="preserve">Electrical / plumbing / HVAC / fire / life safety</t>
  </si>
  <si>
    <t xml:space="preserve">Planning allowance for code upgrades under 2025 Title 24 (effective Jan 1, 2026)</t>
  </si>
  <si>
    <t xml:space="preserve">Architectural greenhouse, 4,000-5,000 SF</t>
  </si>
  <si>
    <t xml:space="preserve">~$65-81/SF at midpoint — above generic commercial ($15-40/SF) reflecting architectural glass + full systems integration; get 2-3 real bids</t>
  </si>
  <si>
    <t xml:space="preserve">Site work / drainage / irrigation / water / landscape</t>
  </si>
  <si>
    <t xml:space="preserve">Planning allowance</t>
  </si>
  <si>
    <t xml:space="preserve">Solar, ~30 kW</t>
  </si>
  <si>
    <t xml:space="preserve">CA commercial solar benchmarks run ~$1.10-2.50/W in 2026; 30kW at ~$2.50/W = $75K (small-system end of range)</t>
  </si>
  <si>
    <t xml:space="preserve">Battery, ~100 kWh</t>
  </si>
  <si>
    <t xml:space="preserve">~$1,074-1,100/kWh commercial benchmark, consistent with 2026 storage pricing — get a project-specific quote</t>
  </si>
  <si>
    <t xml:space="preserve">HEX6-BLE edge server + rack + networking + UPS</t>
  </si>
  <si>
    <t xml:space="preserve">Single high-end rackmount node, not a multi-GPU cluster — see Blueprint tab</t>
  </si>
  <si>
    <t xml:space="preserve">Sensor network / environmental instrumentation</t>
  </si>
  <si>
    <t xml:space="preserve">Climate, soil, water, energy, occupancy sensor bus</t>
  </si>
  <si>
    <t xml:space="preserve">Custom Mycochip R&amp;D + prototypes</t>
  </si>
  <si>
    <t xml:space="preserve">R&amp;D-stage — fungal/mycelium computing is real active research (Adamatzky et al.), not a proven deployed technology yet. Budget as R&amp;D, not a shipped feature</t>
  </si>
  <si>
    <t xml:space="preserve">Signal / data / blockchain software integration</t>
  </si>
  <si>
    <t xml:space="preserve">HEX6-BLE signal pipeline + provenance ledger, see Roadmap tab for legal gating</t>
  </si>
  <si>
    <t xml:space="preserve">Architecture / structural / MEP / agricultural engineering</t>
  </si>
  <si>
    <t xml:space="preserve">Permits / planning / testing / professional fees</t>
  </si>
  <si>
    <t xml:space="preserve">Pre-opening / commissioning / working capital</t>
  </si>
  <si>
    <t xml:space="preserve">Contingency</t>
  </si>
  <si>
    <t xml:space="preserve">~10.5% of subtotal — reasonable for a first-of-kind build</t>
  </si>
  <si>
    <t xml:space="preserve">TOTAL DEVELOPMENT COST</t>
  </si>
  <si>
    <t xml:space="preserve">ROUNDED SEED ASK</t>
  </si>
  <si>
    <t xml:space="preserve">Stated buffer, not an unexplained round number</t>
  </si>
  <si>
    <t xml:space="preserve">Ask WITHOUT property acquisition (tech + infra only)</t>
  </si>
  <si>
    <t xml:space="preserve">Shows the technology/infrastructure can be built independently of owning this specific property</t>
  </si>
  <si>
    <t xml:space="preserve">BUSINESS PLAN — STEP BY STEP, STARTING TODAY</t>
  </si>
  <si>
    <t xml:space="preserve">Buy, build, and grow — in order. Each step names what unlocks the next one.</t>
  </si>
  <si>
    <t xml:space="preserve">Step</t>
  </si>
  <si>
    <t xml:space="preserve">Action</t>
  </si>
  <si>
    <t xml:space="preserve">1</t>
  </si>
  <si>
    <t xml:space="preserve">Confirm SAM.gov/UEI registration is active (done, per Evrica records) — this is the prerequisite for every grant/loan-guarantee program on the Grants tab.</t>
  </si>
  <si>
    <t xml:space="preserve">2</t>
  </si>
  <si>
    <t xml:space="preserve">Submit offer on 4084 Oakwood Dr ($429,000), contingent on inspection, appraisal, and confirming the SF/bedroom discrepancies (Property Facts tab) directly with the listing agent.</t>
  </si>
  <si>
    <t xml:space="preserve">3</t>
  </si>
  <si>
    <t xml:space="preserve">Order construction bids for renovation + greenhouse from 2-3 licensed CA contractors before finalizing the Seed Ask budget — the workbook's numbers are planning-grade, not bid-grade.</t>
  </si>
  <si>
    <t xml:space="preserve">4</t>
  </si>
  <si>
    <t xml:space="preserve">Close escrow. Confirm financing mix: seed equity + (optionally) a USDA REAP guaranteed loan for the renewable-energy portion — not a REAP grant, which is currently paused.</t>
  </si>
  <si>
    <t xml:space="preserve">5</t>
  </si>
  <si>
    <t xml:space="preserve">Apply for CPUC SGIP (battery rebate) and confirm Section 48E ITC eligibility with a licensed CA solar installer, before signing the solar/battery contract — timing affects which incentive tier applies.</t>
  </si>
  <si>
    <t xml:space="preserve">6</t>
  </si>
  <si>
    <t xml:space="preserve">Permitting: Solano County + City of Fairfield, under 2025 Title 24 (effective Jan 1, 2026). Concurrently, post the lead farm/greenhouse technician role at the wage set on the Labor tab.</t>
  </si>
  <si>
    <t xml:space="preserve">7</t>
  </si>
  <si>
    <t xml:space="preserve">Site work begins: solar + battery installation, HEX6-BLE edge node installed, sensor network goes in.</t>
  </si>
  <si>
    <t xml:space="preserve">8</t>
  </si>
  <si>
    <t xml:space="preserve">Greenhouse construction begins, timed so the waste-heat loop from the HEX6-BLE node connects as soon as both are ready.</t>
  </si>
  <si>
    <t xml:space="preserve">9</t>
  </si>
  <si>
    <t xml:space="preserve">Interior renovation proceeds in parallel. Hire the property/STR caretaker (Labor tab) once a completion date is firm.</t>
  </si>
  <si>
    <t xml:space="preserve">10</t>
  </si>
  <si>
    <t xml:space="preserve">First planting cycle in the greenhouse. Confirm zoning/occupancy approval for up to 3 rentable rooms before listing any of them.</t>
  </si>
  <si>
    <t xml:space="preserve">11</t>
  </si>
  <si>
    <t xml:space="preserve">First rentable room and/or STR listing goes live. First farm sale. This is the point where Phase 1 stops being a plan and starts being data.</t>
  </si>
  <si>
    <t xml:space="preserve">12</t>
  </si>
  <si>
    <t xml:space="preserve">Compile 3-6 months of real operating numbers: kWh diverted from the server to the greenhouse, actual yield, actual signal accuracy, actual STR performance vs. the Fairfield AirDNA benchmark on the Revenue Model tab.</t>
  </si>
  <si>
    <t xml:space="preserve">13</t>
  </si>
  <si>
    <t xml:space="preserve">Use that real data — not the illustrative Year-3 numbers — to sell the first HEX6-BLE Engine and HEX6 Greenhouse deployments to outside customers (Roadmap tab, Phase 4). This is where the company's actual margin starts compounding.</t>
  </si>
  <si>
    <t xml:space="preserve">REVENUE MODEL — FOUR LAYERS</t>
  </si>
  <si>
    <t xml:space="preserve">Illustrative scenarios, not projections. Every price/rate is a labeled input (blue) you can change.</t>
  </si>
  <si>
    <t xml:space="preserve">01 — SOFTWARE: HEX6-BLE / PI-US consumer subscription</t>
  </si>
  <si>
    <t xml:space="preserve">Monthly price</t>
  </si>
  <si>
    <t xml:space="preserve">Current paid subscribers (actual, Sep 2026)</t>
  </si>
  <si>
    <t xml:space="preserve">Subscribers</t>
  </si>
  <si>
    <t xml:space="preserve">Monthly Revenue</t>
  </si>
  <si>
    <t xml:space="preserve">Annual Revenue</t>
  </si>
  <si>
    <t xml:space="preserve">02 — INTELLIGENCE HARDWARE: HEX6-BLE Engine (B2B edge node)</t>
  </si>
  <si>
    <t xml:space="preserve">Initial system price</t>
  </si>
  <si>
    <t xml:space="preserve">Monitoring/data subscription, $/mo</t>
  </si>
  <si>
    <t xml:space="preserve">Deployments</t>
  </si>
  <si>
    <t xml:space="preserve">First-Year Revenue</t>
  </si>
  <si>
    <t xml:space="preserve">03 — REGENERATIVE INFRASTRUCTURE: HEX6 Greenhouse deployments</t>
  </si>
  <si>
    <t xml:space="preserve">Sale price per installation (midpoint of $250-450K)</t>
  </si>
  <si>
    <t xml:space="preserve">Revenue</t>
  </si>
  <si>
    <t xml:space="preserve">04 — THE CHAPEL: property-level operations</t>
  </si>
  <si>
    <t xml:space="preserve">Revenue / Value Stream</t>
  </si>
  <si>
    <t xml:space="preserve">Annual</t>
  </si>
  <si>
    <t xml:space="preserve">Basis</t>
  </si>
  <si>
    <t xml:space="preserve">Affordable monthly rooms (up to 3, $1,900/mo each)</t>
  </si>
  <si>
    <t xml:space="preserve">SUBJECT TO ZONING/OCCUPANCY APPROVAL — report confirms 3 bedrooms, not 3 legal independent units</t>
  </si>
  <si>
    <t xml:space="preserve">Farm sales (2,800 productive SF @ $15-20/SF blended)</t>
  </si>
  <si>
    <t xml:space="preserve">Midpoint of $15-20/SF CEA planning benchmark — NOT independently verified this session; confirm with a controlled-environment-ag consultant before finalizing</t>
  </si>
  <si>
    <t xml:space="preserve">Short-term rental — Fairfield market average (corrected)</t>
  </si>
  <si>
    <t xml:space="preserve">AirDNA, Fairfield CA, verified live Sep 2026: 212 listings, $275 ADR, 48% occupancy, $22K avg annual revenue/listing. (An earlier draft cited $44.6K — that figure did not match AirDNA and has been corrected here.)</t>
  </si>
  <si>
    <t xml:space="preserve">STR premium/stabilized upside scenario</t>
  </si>
  <si>
    <t xml:space="preserve">Illustrative upside if positioned as a premium design/creative retreat — not a base-case number</t>
  </si>
  <si>
    <t xml:space="preserve">Chapel base-case revenue (rooms + farm + STR-market-avg)</t>
  </si>
  <si>
    <t xml:space="preserve">ILLUSTRATIVE YEAR-3 SCENARIO (all four layers — not a forecast)</t>
  </si>
  <si>
    <t xml:space="preserve">Software: 10,000 subscribers</t>
  </si>
  <si>
    <t xml:space="preserve">HEX6-BLE Engine: 10 deployments</t>
  </si>
  <si>
    <t xml:space="preserve">HEX6 Greenhouse: 5 deployments</t>
  </si>
  <si>
    <t xml:space="preserve">The Chapel: base-case operations</t>
  </si>
  <si>
    <t xml:space="preserve">TOTAL ILLUSTRATIVE YEAR-3 GROSS REVENUE</t>
  </si>
  <si>
    <t xml:space="preserve">THE CHAPEL — NET MARGIN, WAGES AND OPEX INCLUDED (not just gross revenue)</t>
  </si>
  <si>
    <t xml:space="preserve">This is the honest number: what's left after paying above-market wages, property tax, insurance, maintenance, and platform fees — not the gross revenue figure alone.</t>
  </si>
  <si>
    <t xml:space="preserve">Line</t>
  </si>
  <si>
    <t xml:space="preserve">Gross revenue (rooms + farm + STR-market-avg)</t>
  </si>
  <si>
    <t xml:space="preserve">From Layer 04 base case above</t>
  </si>
  <si>
    <t xml:space="preserve">Less: ongoing labor (fully loaded, above-market wages)</t>
  </si>
  <si>
    <t xml:space="preserve">Labor &amp; Wages tab — CA-verified wage floors, paid well above them</t>
  </si>
  <si>
    <t xml:space="preserve">Less: property tax (est.)</t>
  </si>
  <si>
    <t xml:space="preserve">~1.2% of $429,000 purchase price — CA Prop 13 reassessment at sale; typical Solano County effective rate. Confirm with county assessor.</t>
  </si>
  <si>
    <t xml:space="preserve">Less: insurance (est.)</t>
  </si>
  <si>
    <t xml:space="preserve">Planning allowance, mixed-use property + farm liability — NOT independently verified this session; get a real quote</t>
  </si>
  <si>
    <t xml:space="preserve">Less: maintenance reserve (est.)</t>
  </si>
  <si>
    <t xml:space="preserve">~1% of total development cost/year — standard planning reserve ratio</t>
  </si>
  <si>
    <t xml:space="preserve">Less: STR platform host fee (~3%)</t>
  </si>
  <si>
    <t xml:space="preserve">Standard Airbnb host service fee on the STR revenue line only</t>
  </si>
  <si>
    <t xml:space="preserve">NET MARGIN — THE CHAPEL, YEAR 1 BASE CASE</t>
  </si>
  <si>
    <t xml:space="preserve">Honest answer: near-breakeven to slightly negative at Phase 1 scale, WITH fair wages and affordable rent both intact</t>
  </si>
  <si>
    <t xml:space="preserve">WHY THAT'S THE RIGHT ANSWER, NOT A PROBLEM TO HIDE</t>
  </si>
  <si>
    <t xml:space="preserve">The Chapel was never supposed to carry the company's margin. It's the proof-of-concept, the data source, and the showroom. Two upside levers exist WITHOUT touching wages or rent: the energy-optimization savings from Section 3.3 of the SOW (~$3,000-4,500/yr, not included above since it offsets utility bills rather than generating revenue) and the premium STR scenario ($60,000/yr instead of $22,000 if positioned as a design/creative retreat) — either one alone moves this close to breakeven, both together push it modestly positive. But the real margin engine is below.</t>
  </si>
  <si>
    <t xml:space="preserve">COMPANY-WIDE ILLUSTRATIVE MARGIN, YEAR 3 (this is where margin actually comes from)</t>
  </si>
  <si>
    <t xml:space="preserve">Layer</t>
  </si>
  <si>
    <t xml:space="preserve">Gross Margin %</t>
  </si>
  <si>
    <t xml:space="preserve">Gross Profit</t>
  </si>
  <si>
    <t xml:space="preserve">Basis for margin %</t>
  </si>
  <si>
    <t xml:space="preserve">Software (10,000 subscribers)</t>
  </si>
  <si>
    <t xml:space="preserve">Typical SaaS gross margin benchmark (industry range 70-85%) — hosting/support costs only</t>
  </si>
  <si>
    <t xml:space="preserve">HEX6-BLE Engine (10 deployments)</t>
  </si>
  <si>
    <t xml:space="preserve">Hardware+service blend — hardware alone rarely exceeds 20-30%, the $299/mo monitoring layer pulls this up</t>
  </si>
  <si>
    <t xml:space="preserve">HEX6 Greenhouse (5 deployments)</t>
  </si>
  <si>
    <t xml:space="preserve">Systems-integration/construction typical gross margin range</t>
  </si>
  <si>
    <t xml:space="preserve">The Chapel</t>
  </si>
  <si>
    <t xml:space="preserve">Already a net figure above (opex included) — margin % not meaningful here, shown as-is</t>
  </si>
  <si>
    <t xml:space="preserve">TOTAL ILLUSTRATIVE GROSS PROFIT, YEAR 3</t>
  </si>
  <si>
    <t xml:space="preserve">Blended margin % on total Year-3 revenue</t>
  </si>
  <si>
    <t xml:space="preserve">THE CREATIVE FINESSE, STATED PLAINLY: margin doesn't come from paying farm/property staff less or charging tenants more — both stay fixed and fair. It comes from capital-stack efficiency (SGIP + 48E ITC reduce the capex base that rent/farm revenue would otherwise need to cover) and from letting the software layer's ~75% gross margin cross-subsidize the flagship property while it proves the model out. That's a standard, credible platform-company structure — proof-of-concept property at breakeven, recurring software revenue carrying the return — not a story that depends on underpaying anyone.</t>
  </si>
  <si>
    <t xml:space="preserve">LABOR &amp; WAGES — PAID ABOVE MARKET, ON PURPOSE</t>
  </si>
  <si>
    <t xml:space="preserve">Benchmarked against verified CA 2026 wage floors (statewide minimum $16.90/hr; H-2A skilled agricultural wage $18.60/hr). Every role here is paid meaningfully above both.</t>
  </si>
  <si>
    <t xml:space="preserve">CONSTRUCTION LABOR (embedded in Seed Ask capex, not a separate line)</t>
  </si>
  <si>
    <t xml:space="preserve">California construction labor runs ~45% above the national average (CA labor index 1.45x, RSMeans/BLS-based). Inland Solano County renovation work typically prices at $200-550/SF total (materials+labor combined) for CA — the workbook's $525K renovation line (2,000-2,832 SF) already sits inside that range. Prevailing-wage rules (CA Labor Code 1720-1861 / federal Davis-Bacon) apply only if the project draws on public/federal funding for the funded portion — relevant if the REAP loan guarantee (see Grants tab) is used.</t>
  </si>
  <si>
    <t xml:space="preserve">ONGOING OPERATING LABOR (Year 1, new line items)</t>
  </si>
  <si>
    <t xml:space="preserve">Role</t>
  </si>
  <si>
    <t xml:space="preserve">Hourly Rate</t>
  </si>
  <si>
    <t xml:space="preserve">Annual Hours</t>
  </si>
  <si>
    <t xml:space="preserve">Base Pay</t>
  </si>
  <si>
    <t xml:space="preserve">Fully-loaded (CA payroll burden)</t>
  </si>
  <si>
    <t xml:space="preserve">Lead farm/greenhouse technician (full-time)</t>
  </si>
  <si>
    <t xml:space="preserve">Farm/greenhouse assistant (part-time, ~20hrs/wk)</t>
  </si>
  <si>
    <t xml:space="preserve">Property &amp; STR caretaker (part-time, ~15hrs/wk avg)</t>
  </si>
  <si>
    <t xml:space="preserve">TOTAL ONGOING LABOR (Year 1)</t>
  </si>
  <si>
    <t xml:space="preserve">CA LABOR LAW NOTES (fully-loaded figures above assume compliance)</t>
  </si>
  <si>
    <t xml:space="preserve">•  Daily overtime after 8 hrs, weekly after 40 hrs for agricultural employees (CA AB 1066, phased in for employers of all sizes)</t>
  </si>
  <si>
    <t xml:space="preserve">•  Mandatory meal and rest breaks apply to agricultural workers same as other CA employees</t>
  </si>
  <si>
    <t xml:space="preserve">•  Workers' compensation is mandatory in CA for all employees, including part-time</t>
  </si>
  <si>
    <t xml:space="preserve">•  If a bill to raise CA's H-2A-adjacent agricultural wage floor (AB 2646, $19.75/hr) passes, the $22-28/hr roles above already clear it</t>
  </si>
  <si>
    <t xml:space="preserve">GRANTS &amp; INCENTIVES — VERIFIED STATUS, SEPTEMBER 15 2026</t>
  </si>
  <si>
    <t xml:space="preserve">Evrica Technologies Inc. is SAM.gov / UEI registered, the prerequisite for every federal program below.</t>
  </si>
  <si>
    <t xml:space="preserve">Program</t>
  </si>
  <si>
    <t xml:space="preserve">Est. Value</t>
  </si>
  <si>
    <t xml:space="preserve">Status / Source, verified Sep 2026</t>
  </si>
  <si>
    <t xml:space="preserve">USDA REAP — grant</t>
  </si>
  <si>
    <t xml:space="preserve">PAUSED. USDA announced Mar 31, 2026 that no further REAP grant awards will be made until new regulations (7 CFR 4280 Subpart B) are finalized; no FY2026 NOFO issued as of this workbook's date. DO NOT count this as funding until USDA reopens the grant window — treat as $0 until confirmed.</t>
  </si>
  <si>
    <t xml:space="preserve">USDA REAP — guaranteed loan</t>
  </si>
  <si>
    <t xml:space="preserve">STILL OPEN. Up to 75% loan guarantee, up to $25M project size. Reduces cost of debt, not free capital — if used, may trigger Davis-Bacon prevailing wage on the funded portion (see Labor tab).</t>
  </si>
  <si>
    <t xml:space="preserve">CPUC SGIP (battery storage rebate)</t>
  </si>
  <si>
    <t xml:space="preserve">OPEN. General market rate ~$150/kWh in 2026 -&gt; ~$15,000 on a 100kWh system. Equity/Equity Resiliency tiers pay far more ($850-1,000/kWh) but require low-income or high-fire-threat-district status — NOT assumed here. This is a commercial-scale system; confirm the applicable budget category with an SGIP-approved installer.</t>
  </si>
  <si>
    <t xml:space="preserve">Federal Section 48E commercial solar ITC</t>
  </si>
  <si>
    <t xml:space="preserve">OPEN. 30% federal credit on qualifying commercial solar (illustrative: 30% x $75,000 solar line). Confirm current construction-start deadlines before relying on this in cash-flow planning.</t>
  </si>
  <si>
    <t xml:space="preserve">Solano County / City of Fairfield housing incentives</t>
  </si>
  <si>
    <t xml:space="preserve">UNVERIFIED THIS SESSION. Worth a direct call to Fairfield's planning department re: ADU/JADU incentive programs — small residential-scale projects like this one typically don't qualify for LIHTC or CDBG, which are sized for larger multi-unit developments. Do not assume eligibility without confirming directly.</t>
  </si>
  <si>
    <t xml:space="preserve">TOTAL CONFIRMED NON-DILUTIVE VALUE (excludes paused/unverified items)</t>
  </si>
  <si>
    <t xml:space="preserve">THE ARC — PHASED, GATED</t>
  </si>
  <si>
    <t xml:space="preserve">Each phase's legal/technical gates must clear before the next phase starts. This is not a marketing timeline.</t>
  </si>
  <si>
    <t xml:space="preserve">Phase</t>
  </si>
  <si>
    <t xml:space="preserve">What gets built</t>
  </si>
  <si>
    <t xml:space="preserve">Gate before proceeding</t>
  </si>
  <si>
    <t xml:space="preserve">Phase 1 — The Chapel
(this raise)</t>
  </si>
  <si>
    <t xml:space="preserve">4084 Oakwood Dr acquired and converted: interior renovation, 4-5K SF architectural greenhouse, solar+battery, HEX6-BLE edge server, sensor network, Mycochip R&amp;D track, up to 3 rentable rooms.</t>
  </si>
  <si>
    <t xml:space="preserve">Confirm actual SF via appraisal/walkthrough; zoning/occupancy approval for multi-room rental; construction bids in hand before final budget lock.</t>
  </si>
  <si>
    <t xml:space="preserve">Phase 2 — Prove the signal loop</t>
  </si>
  <si>
    <t xml:space="preserve">HEX6-BLE signals (climate, soil, water, energy, biological via Mycochip) feed real-time regenerative farming decisions on-site. Data anchored to a provenance ledger.</t>
  </si>
  <si>
    <t xml:space="preserve">Mycochip is R&amp;D-stage, not proven at deployment scale — treat all yield/efficiency claims as targets until measured on-site for 2+ full seasons.</t>
  </si>
  <si>
    <t xml:space="preserve">Phase 3 — Personal blockchain network</t>
  </si>
  <si>
    <t xml:space="preserve">A dedicated chain for HEX6-BLE signal provenance and (if pursued) asset-backed tokens tied to the physical network of nodes.</t>
  </si>
  <si>
    <t xml:space="preserve">HARD GATE: securities counsel must resolve Path A (no token) vs Path B (token, with a chosen exemption — Reg CF/D/A+) BEFORE any public token mechanics, staking language, or fundraising against token economics. An asset-backed token is a cleaner fit for Howey, not an escape from it — proven templates exist (Lofty AI's Wyoming DAO LLC on Algorand) but still require registration/exemption.</t>
  </si>
  <si>
    <t xml:space="preserve">Phase 4 — HEX6 Engine + Greenhouse as standalone products</t>
  </si>
  <si>
    <t xml:space="preserve">Package the edge node and the greenhouse system as products sold to other property owners — hotels, wineries, farms, schools — without Evrica owning the real estate.</t>
  </si>
  <si>
    <t xml:space="preserve">Requires Phase 1 operating data (actual yield, actual signal accuracy, actual energy savings) as the sales proof — do not sell this layer on projected numbers.</t>
  </si>
  <si>
    <t xml:space="preserve">TIMELINE — FROM TODAY (SEPTEMBER 15, 2026)</t>
  </si>
  <si>
    <t xml:space="preserve">Window</t>
  </si>
  <si>
    <t xml:space="preserve">Milestones</t>
  </si>
  <si>
    <t xml:space="preserve">Now - Month 1</t>
  </si>
  <si>
    <t xml:space="preserve">SAM.gov registration + UEI; confirm Evrica Foundation nonprofit status; Evrica DAO LLC stays dormant (Phase 3 gate, not yet); open escrow / offer on 4084 Oakwood Dr; continue subscriber acquisition via Kalshi/prediction-market communities.</t>
  </si>
  <si>
    <t xml:space="preserve">Month 1 - 3</t>
  </si>
  <si>
    <t xml:space="preserve">Close on property (subject to inspection, appraisal, financing); order construction bids for renovation + greenhouse; confirm actual SF and bedroom count discrepancies; submit REAP/solar incentive applications where applicable.</t>
  </si>
  <si>
    <t xml:space="preserve">Month 3 - 6</t>
  </si>
  <si>
    <t xml:space="preserve">Permitting; MEP + life-safety upgrades begin; solar + battery installation; HEX6-BLE edge server + sensor network installed; greenhouse construction begins.</t>
  </si>
  <si>
    <t xml:space="preserve">Month 6 - 9</t>
  </si>
  <si>
    <t xml:space="preserve">Greenhouse operational, first planting cycle; interior renovation completes; Mycochip R&amp;D prototypes begin bench testing on-site (not yet integrated into production signal path).</t>
  </si>
  <si>
    <t xml:space="preserve">Month 9 - 12</t>
  </si>
  <si>
    <t xml:space="preserve">First rentable room/STR listing goes live; first farm sale; compile first real operating data: kWh diverted/saved, yield, signal accuracy — this is what Phase 4's sales pitch will be built on.</t>
  </si>
  <si>
    <t xml:space="preserve">Month 12 - 18</t>
  </si>
  <si>
    <t xml:space="preserve">Full Phase 1 dataset in hand. Begin Phase 2 signal-loop validation. Only now does Phase 3 (blockchain network / token) conversation with securities counsel become a live workstream, not before.</t>
  </si>
  <si>
    <t xml:space="preserve">PROPERTY FACTS — VERIFIED AGAINST LIVE LISTING</t>
  </si>
  <si>
    <t xml:space="preserve">Fact</t>
  </si>
  <si>
    <t xml:space="preserve">Value</t>
  </si>
  <si>
    <t xml:space="preserve">Source / Flag</t>
  </si>
  <si>
    <t xml:space="preserve">Address</t>
  </si>
  <si>
    <t xml:space="preserve">4084 Oakwood Dr, Fairfield, CA 94534 (Solano County)</t>
  </si>
  <si>
    <t xml:space="preserve">MLS #325097043</t>
  </si>
  <si>
    <t xml:space="preserve">List price</t>
  </si>
  <si>
    <t xml:space="preserve">$429,000 ($214/SF)</t>
  </si>
  <si>
    <t xml:space="preserve">Coldwell Banker / Stumbaugh Realty (agent: Luke Godfrey), live Sep 2026</t>
  </si>
  <si>
    <t xml:space="preserve">Building description</t>
  </si>
  <si>
    <t xml:space="preserve">MLS remarks: "This large former church has an updated kitchen, and loads of potential."</t>
  </si>
  <si>
    <t xml:space="preserve">Confirms the chapel/church framing — this is accurate, not invented</t>
  </si>
  <si>
    <t xml:space="preserve">Year built</t>
  </si>
  <si>
    <t xml:space="preserve">1960</t>
  </si>
  <si>
    <t xml:space="preserve">Consistent across all sources</t>
  </si>
  <si>
    <t xml:space="preserve">Living area</t>
  </si>
  <si>
    <t xml:space="preserve">2,000 SF (live listing) — DISCREPANCY</t>
  </si>
  <si>
    <t xml:space="preserve">A separate property-data report showed 2,832 SF. Unresolved — confirm before finalizing renovation budget</t>
  </si>
  <si>
    <t xml:space="preserve">Bedrooms</t>
  </si>
  <si>
    <t xml:space="preserve">Listing shows blank/unclear; Trulia shows 2; an older report showed 3 — DISCREPANCY</t>
  </si>
  <si>
    <t xml:space="preserve">Confirm via walkthrough or ask listing agent directly</t>
  </si>
  <si>
    <t xml:space="preserve">Bathrooms</t>
  </si>
  <si>
    <t xml:space="preserve">3 full</t>
  </si>
  <si>
    <t xml:space="preserve">Consistent across sources</t>
  </si>
  <si>
    <t xml:space="preserve">Lot size</t>
  </si>
  <si>
    <t xml:space="preserve">18,730-18,731 SF (0.43 acres)</t>
  </si>
  <si>
    <t xml:space="preserve">Architectural style</t>
  </si>
  <si>
    <t xml:space="preserve">Farmhouse (MLS structured field) / former church (MLS remarks)</t>
  </si>
  <si>
    <t xml:space="preserve">Both listed — structured field and free-text description differ, not unusual for a converted building</t>
  </si>
  <si>
    <t xml:space="preserve">Zip median list price</t>
  </si>
  <si>
    <t xml:space="preserve">$749,000 (94534), -5% YoY</t>
  </si>
  <si>
    <t xml:space="preserve">Movoto, Aug 2026 — this property is priced well below area median</t>
  </si>
  <si>
    <t xml:space="preserve">Prior sale</t>
  </si>
  <si>
    <t xml:space="preserve">$399,900, April 2025, buyer: an LLC</t>
  </si>
  <si>
    <t xml:space="preserve">From a property-data aggregator report — historical, not the current asking price</t>
  </si>
  <si>
    <t xml:space="preserve">Climate</t>
  </si>
  <si>
    <t xml:space="preserve">78% possible sunshine, 0 annual snowfall, 23.74in annual precipitation</t>
  </si>
  <si>
    <t xml:space="preserve">Favorable for solar + passive greenhouse design; no snow-load engineering needed (unlike a cold-climate build)</t>
  </si>
  <si>
    <t xml:space="preserve">Note: an earlier version of this research pulled owner/resident personal history from a people-search data-broker report. That personal data (names, ages, residency dates of private individuals) is intentionally excluded from this workbook and should not be used in investor materials.</t>
  </si>
  <si>
    <t xml:space="preserve">VISUALS</t>
  </si>
  <si>
    <t xml:space="preserve">Budget breakdown</t>
  </si>
  <si>
    <t xml:space="preserve">Amount</t>
  </si>
  <si>
    <t xml:space="preserve">Subscription revenue growth (Layer 01)</t>
  </si>
  <si>
    <t xml:space="preserve">Illustrative Year-3 revenue by layer</t>
  </si>
  <si>
    <t xml:space="preserve">Software (10K subs)</t>
  </si>
  <si>
    <t xml:space="preserve">HEX6-BLE Engine (10)</t>
  </si>
  <si>
    <t xml:space="preserve">HEX6 Greenhouse (5)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</si>
</sst>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&quot;buffer: +$&quot;#,##0"/>
    <numFmt numFmtId="167" formatCode="0.0%"/>
    <numFmt numFmtId="168" formatCode="&quot;+ $&quot;#,##0&quot; buffer&quot;"/>
    <numFmt numFmtId="169" formatCode="\$0.00"/>
    <numFmt numFmtId="170" formatCode="\$#,##0;&quot;($&quot;#,##0\);\-"/>
    <numFmt numFmtId="171" formatCode="\$0.0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A44"/>
      <name val="Arial"/>
      <family val="0"/>
      <charset val="1"/>
    </font>
    <font>
      <i val="true"/>
      <sz val="13"/>
      <color rgb="FF555555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b val="true"/>
      <sz val="28"/>
      <color rgb="FF1F2A44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B08D57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6"/>
      <color rgb="FF1F2A4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4"/>
      <color rgb="FFB08D57"/>
      <name val="Arial"/>
      <family val="0"/>
      <charset val="1"/>
    </font>
    <font>
      <b val="true"/>
      <sz val="12"/>
      <color rgb="FFB08D57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3"/>
      <color rgb="FF1F2A44"/>
      <name val="Arial"/>
      <family val="0"/>
      <charset val="1"/>
    </font>
    <font>
      <b val="true"/>
      <sz val="10"/>
      <color rgb="FFB08D57"/>
      <name val="Arial"/>
      <family val="0"/>
      <charset val="1"/>
    </font>
    <font>
      <b val="true"/>
      <sz val="10"/>
      <color rgb="FF1F2A4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2A44"/>
        <bgColor rgb="FF333333"/>
      </patternFill>
    </fill>
    <fill>
      <patternFill patternType="solid">
        <fgColor rgb="FFF4F1E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3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9B49"/>
      <rgbColor rgb="FF800080"/>
      <rgbColor rgb="FF4F81BD"/>
      <rgbColor rgb="FFCCCCCC"/>
      <rgbColor rgb="FF878787"/>
      <rgbColor rgb="FF777777"/>
      <rgbColor rgb="FF9F423F"/>
      <rgbColor rgb="FFF4F1EC"/>
      <rgbColor rgb="FFCCFFFF"/>
      <rgbColor rgb="FF660066"/>
      <rgbColor rgb="FFCC7C3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BAD7"/>
      <rgbColor rgb="FFD8AAA9"/>
      <rgbColor rgb="FFB9AFC9"/>
      <rgbColor rgb="FFC5D6AC"/>
      <rgbColor rgb="FF416A9C"/>
      <rgbColor rgb="FF4BACC6"/>
      <rgbColor rgb="FF9BBB59"/>
      <rgbColor rgb="FFFFCC00"/>
      <rgbColor rgb="FFF79646"/>
      <rgbColor rgb="FFFF6600"/>
      <rgbColor rgb="FF8064A2"/>
      <rgbColor rgb="FFB08D57"/>
      <rgbColor rgb="FF1F2A44"/>
      <rgbColor rgb="FF3E8EA4"/>
      <rgbColor rgb="FF003300"/>
      <rgbColor rgb="FF555555"/>
      <rgbColor rgb="FF993300"/>
      <rgbColor rgb="FFC0504D"/>
      <rgbColor rgb="FF6A528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Phase 1 Development Budget by Component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Charts!C5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16a9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9f423f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09b4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a528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3e8ea4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c7c3a"/>
              </a:solidFill>
              <a:ln w="0">
                <a:noFill/>
              </a:ln>
            </c:spPr>
          </c:dPt>
          <c:dPt>
            <c:idx val="6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7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8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9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f79646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aabad7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d8aaa9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c5d6ac"/>
              </a:solidFill>
              <a:ln w="0">
                <a:noFill/>
              </a:ln>
            </c:spPr>
          </c:dPt>
          <c:dPt>
            <c:idx val="15"/>
            <c:spPr>
              <a:solidFill>
                <a:srgbClr val="b9afc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Charts!$B$6:$B$21</c:f>
              <c:strCache>
                <c:ptCount val="16"/>
                <c:pt idx="0">
                  <c:v>Property acquisition (actual list price)</c:v>
                </c:pt>
                <c:pt idx="1">
                  <c:v>Acquisition / legal / due diligence / closing</c:v>
                </c:pt>
                <c:pt idx="2">
                  <c:v>Full interior renovation</c:v>
                </c:pt>
                <c:pt idx="3">
                  <c:v>Electrical / plumbing / HVAC / fire / life safety</c:v>
                </c:pt>
                <c:pt idx="4">
                  <c:v>Architectural greenhouse, 4,000-5,000 SF</c:v>
                </c:pt>
                <c:pt idx="5">
                  <c:v>Site work / drainage / irrigation / water / landscape</c:v>
                </c:pt>
                <c:pt idx="6">
                  <c:v>Solar, ~30 kW</c:v>
                </c:pt>
                <c:pt idx="7">
                  <c:v>Battery, ~100 kWh</c:v>
                </c:pt>
                <c:pt idx="8">
                  <c:v>HEX6-BLE edge server + rack + networking + UPS</c:v>
                </c:pt>
                <c:pt idx="9">
                  <c:v>Sensor network / environmental instrumentation</c:v>
                </c:pt>
                <c:pt idx="10">
                  <c:v>Custom Mycochip R&amp;D + prototypes</c:v>
                </c:pt>
                <c:pt idx="11">
                  <c:v>Signal / data / blockchain software integration</c:v>
                </c:pt>
                <c:pt idx="12">
                  <c:v>Architecture / structural / MEP / agricultural engineering</c:v>
                </c:pt>
                <c:pt idx="13">
                  <c:v>Permits / planning / testing / professional fees</c:v>
                </c:pt>
                <c:pt idx="14">
                  <c:v>Pre-opening / commissioning / working capital</c:v>
                </c:pt>
                <c:pt idx="15">
                  <c:v>Contingency</c:v>
                </c:pt>
              </c:strCache>
            </c:strRef>
          </c:cat>
          <c:val>
            <c:numRef>
              <c:f>Charts!$C$6:$C$21</c:f>
              <c:numCache>
                <c:formatCode>\$#,##0;"($"#,##0\);\-</c:formatCode>
                <c:ptCount val="16"/>
                <c:pt idx="0">
                  <c:v>429000</c:v>
                </c:pt>
                <c:pt idx="1">
                  <c:v>25000</c:v>
                </c:pt>
                <c:pt idx="2">
                  <c:v>525000</c:v>
                </c:pt>
                <c:pt idx="3">
                  <c:v>150000</c:v>
                </c:pt>
                <c:pt idx="4">
                  <c:v>325000</c:v>
                </c:pt>
                <c:pt idx="5">
                  <c:v>100000</c:v>
                </c:pt>
                <c:pt idx="6">
                  <c:v>75000</c:v>
                </c:pt>
                <c:pt idx="7">
                  <c:v>110000</c:v>
                </c:pt>
                <c:pt idx="8">
                  <c:v>35000</c:v>
                </c:pt>
                <c:pt idx="9">
                  <c:v>25000</c:v>
                </c:pt>
                <c:pt idx="10">
                  <c:v>40000</c:v>
                </c:pt>
                <c:pt idx="11">
                  <c:v>50000</c:v>
                </c:pt>
                <c:pt idx="12">
                  <c:v>100000</c:v>
                </c:pt>
                <c:pt idx="13">
                  <c:v>50000</c:v>
                </c:pt>
                <c:pt idx="14">
                  <c:v>100000</c:v>
                </c:pt>
                <c:pt idx="15">
                  <c:v>250000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Annual Recurring Revenue by Subscriber Count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Charts!C25</c:f>
              <c:strCache>
                <c:ptCount val="1"/>
                <c:pt idx="0">
                  <c:v>Annual Revenue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Charts!$B$26:$B$31</c:f>
              <c:strCache>
                <c:ptCount val="6"/>
                <c:pt idx="0">
                  <c:v>100</c:v>
                </c:pt>
                <c:pt idx="1">
                  <c:v>1000</c:v>
                </c:pt>
                <c:pt idx="2">
                  <c:v>5000</c:v>
                </c:pt>
                <c:pt idx="3">
                  <c:v>10000</c:v>
                </c:pt>
                <c:pt idx="4">
                  <c:v>25000</c:v>
                </c:pt>
                <c:pt idx="5">
                  <c:v>50000</c:v>
                </c:pt>
              </c:strCache>
            </c:strRef>
          </c:cat>
          <c:val>
            <c:numRef>
              <c:f>Charts!$C$26:$C$31</c:f>
              <c:numCache>
                <c:formatCode>\$#,##0;"($"#,##0\);\-</c:formatCode>
                <c:ptCount val="6"/>
                <c:pt idx="0">
                  <c:v>23988</c:v>
                </c:pt>
                <c:pt idx="1">
                  <c:v>239880</c:v>
                </c:pt>
                <c:pt idx="2">
                  <c:v>1199400</c:v>
                </c:pt>
                <c:pt idx="3">
                  <c:v>2398800</c:v>
                </c:pt>
                <c:pt idx="4">
                  <c:v>5997000</c:v>
                </c:pt>
                <c:pt idx="5">
                  <c:v>11994000</c:v>
                </c:pt>
              </c:numCache>
            </c:numRef>
          </c:val>
        </c:ser>
        <c:gapWidth val="150"/>
        <c:overlap val="0"/>
        <c:axId val="96926720"/>
        <c:axId val="34362520"/>
      </c:barChart>
      <c:catAx>
        <c:axId val="9692672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Subscribers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362520"/>
        <c:crosses val="autoZero"/>
        <c:auto val="1"/>
        <c:lblAlgn val="ctr"/>
        <c:lblOffset val="100"/>
        <c:noMultiLvlLbl val="0"/>
      </c:catAx>
      <c:valAx>
        <c:axId val="343625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Annual 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92672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Illustrative Year-3 Revenue by Business Layer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Charts!C35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Charts!$B$36:$B$39</c:f>
              <c:strCache>
                <c:ptCount val="4"/>
                <c:pt idx="0">
                  <c:v>Software (10K subs)</c:v>
                </c:pt>
                <c:pt idx="1">
                  <c:v>HEX6-BLE Engine (10)</c:v>
                </c:pt>
                <c:pt idx="2">
                  <c:v>HEX6 Greenhouse (5)</c:v>
                </c:pt>
                <c:pt idx="3">
                  <c:v>The Chapel</c:v>
                </c:pt>
              </c:strCache>
            </c:strRef>
          </c:cat>
          <c:val>
            <c:numRef>
              <c:f>Charts!$C$36:$C$39</c:f>
              <c:numCache>
                <c:formatCode>\$#,##0;"($"#,##0\);\-</c:formatCode>
                <c:ptCount val="4"/>
                <c:pt idx="0">
                  <c:v>2398800</c:v>
                </c:pt>
                <c:pt idx="1">
                  <c:v>285880</c:v>
                </c:pt>
                <c:pt idx="2">
                  <c:v>1750000</c:v>
                </c:pt>
                <c:pt idx="3">
                  <c:v>139400</c:v>
                </c:pt>
              </c:numCache>
            </c:numRef>
          </c:val>
        </c:ser>
        <c:gapWidth val="150"/>
        <c:overlap val="0"/>
        <c:axId val="91401668"/>
        <c:axId val="75543020"/>
      </c:barChart>
      <c:catAx>
        <c:axId val="914016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543020"/>
        <c:crosses val="autoZero"/>
        <c:auto val="1"/>
        <c:lblAlgn val="ctr"/>
        <c:lblOffset val="100"/>
        <c:noMultiLvlLbl val="0"/>
      </c:catAx>
      <c:valAx>
        <c:axId val="755430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40166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</xdr:row>
      <xdr:rowOff>131040</xdr:rowOff>
    </xdr:from>
    <xdr:to>
      <xdr:col>14</xdr:col>
      <xdr:colOff>364320</xdr:colOff>
      <xdr:row>21</xdr:row>
      <xdr:rowOff>110880</xdr:rowOff>
    </xdr:to>
    <xdr:graphicFrame>
      <xdr:nvGraphicFramePr>
        <xdr:cNvPr id="0" name="Chart 1"/>
        <xdr:cNvGraphicFramePr/>
      </xdr:nvGraphicFramePr>
      <xdr:xfrm>
        <a:off x="3665160" y="569160"/>
        <a:ext cx="6479280" cy="35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20</xdr:row>
      <xdr:rowOff>131040</xdr:rowOff>
    </xdr:from>
    <xdr:to>
      <xdr:col>14</xdr:col>
      <xdr:colOff>364320</xdr:colOff>
      <xdr:row>38</xdr:row>
      <xdr:rowOff>150840</xdr:rowOff>
    </xdr:to>
    <xdr:graphicFrame>
      <xdr:nvGraphicFramePr>
        <xdr:cNvPr id="1" name="Chart 2"/>
        <xdr:cNvGraphicFramePr/>
      </xdr:nvGraphicFramePr>
      <xdr:xfrm>
        <a:off x="3665160" y="3998160"/>
        <a:ext cx="6479280" cy="3591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0</xdr:colOff>
      <xdr:row>37</xdr:row>
      <xdr:rowOff>171000</xdr:rowOff>
    </xdr:from>
    <xdr:to>
      <xdr:col>14</xdr:col>
      <xdr:colOff>364320</xdr:colOff>
      <xdr:row>56</xdr:row>
      <xdr:rowOff>150840</xdr:rowOff>
    </xdr:to>
    <xdr:graphicFrame>
      <xdr:nvGraphicFramePr>
        <xdr:cNvPr id="2" name="Chart 3"/>
        <xdr:cNvGraphicFramePr/>
      </xdr:nvGraphicFramePr>
      <xdr:xfrm>
        <a:off x="3665160" y="7419600"/>
        <a:ext cx="6479280" cy="35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5" min="2" style="1" width="30"/>
    <col collapsed="false" customWidth="true" hidden="false" outlineLevel="0" max="6" min="6" style="1" width="4"/>
  </cols>
  <sheetData>
    <row r="2" customFormat="false" ht="24" hidden="false" customHeight="true" outlineLevel="0" collapsed="false">
      <c r="B2" s="2" t="s">
        <v>0</v>
      </c>
    </row>
    <row r="3" customFormat="false" ht="15.7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  <c r="C5" s="4"/>
      <c r="D5" s="4"/>
      <c r="E5" s="4"/>
    </row>
    <row r="7" customFormat="false" ht="15" hidden="false" customHeight="true" outlineLevel="0" collapsed="false">
      <c r="B7" s="5" t="s">
        <v>3</v>
      </c>
    </row>
    <row r="8" customFormat="false" ht="33.75" hidden="false" customHeight="true" outlineLevel="0" collapsed="false">
      <c r="B8" s="6" t="n">
        <f aca="false">'Seed Ask'!C23</f>
        <v>2500000</v>
      </c>
      <c r="C8" s="7" t="n">
        <f aca="false">'Seed Ask'!C23-'Seed Ask'!C21</f>
        <v>111000</v>
      </c>
    </row>
    <row r="10" customFormat="false" ht="15" hidden="false" customHeight="true" outlineLevel="0" collapsed="false">
      <c r="B10" s="5" t="s">
        <v>4</v>
      </c>
    </row>
    <row r="11" customFormat="false" ht="30" hidden="false" customHeight="true" outlineLevel="0" collapsed="false">
      <c r="B11" s="8" t="s">
        <v>5</v>
      </c>
      <c r="C11" s="9" t="s">
        <v>6</v>
      </c>
      <c r="D11" s="9"/>
      <c r="E11" s="9"/>
    </row>
    <row r="12" customFormat="false" ht="30" hidden="false" customHeight="true" outlineLevel="0" collapsed="false">
      <c r="B12" s="8" t="s">
        <v>7</v>
      </c>
      <c r="C12" s="9" t="s">
        <v>8</v>
      </c>
      <c r="D12" s="9"/>
      <c r="E12" s="9"/>
    </row>
    <row r="13" customFormat="false" ht="30" hidden="false" customHeight="true" outlineLevel="0" collapsed="false">
      <c r="B13" s="8" t="s">
        <v>9</v>
      </c>
      <c r="C13" s="9" t="s">
        <v>10</v>
      </c>
      <c r="D13" s="9"/>
      <c r="E13" s="9"/>
    </row>
    <row r="14" customFormat="false" ht="30" hidden="false" customHeight="true" outlineLevel="0" collapsed="false">
      <c r="B14" s="8" t="s">
        <v>11</v>
      </c>
      <c r="C14" s="9" t="s">
        <v>12</v>
      </c>
      <c r="D14" s="9"/>
      <c r="E14" s="9"/>
    </row>
    <row r="16" customFormat="false" ht="15" hidden="false" customHeight="true" outlineLevel="0" collapsed="false">
      <c r="B16" s="5" t="s">
        <v>13</v>
      </c>
    </row>
    <row r="17" customFormat="false" ht="15" hidden="false" customHeight="true" outlineLevel="0" collapsed="false">
      <c r="B17" s="4" t="s">
        <v>14</v>
      </c>
      <c r="C17" s="4"/>
      <c r="D17" s="4"/>
      <c r="E17" s="4"/>
    </row>
    <row r="18" customFormat="false" ht="15" hidden="false" customHeight="true" outlineLevel="0" collapsed="false">
      <c r="B18" s="4" t="s">
        <v>15</v>
      </c>
      <c r="C18" s="4"/>
      <c r="D18" s="4"/>
      <c r="E18" s="4"/>
    </row>
    <row r="19" customFormat="false" ht="15" hidden="false" customHeight="true" outlineLevel="0" collapsed="false">
      <c r="B19" s="4" t="s">
        <v>16</v>
      </c>
      <c r="C19" s="4"/>
      <c r="D19" s="4"/>
      <c r="E19" s="4"/>
    </row>
    <row r="20" customFormat="false" ht="15" hidden="false" customHeight="true" outlineLevel="0" collapsed="false">
      <c r="B20" s="4" t="s">
        <v>17</v>
      </c>
      <c r="C20" s="4"/>
      <c r="D20" s="4"/>
      <c r="E20" s="4"/>
    </row>
    <row r="21" customFormat="false" ht="15" hidden="false" customHeight="true" outlineLevel="0" collapsed="false">
      <c r="B21" s="4" t="s">
        <v>18</v>
      </c>
      <c r="C21" s="4"/>
      <c r="D21" s="4"/>
      <c r="E21" s="4"/>
    </row>
    <row r="22" customFormat="false" ht="15" hidden="false" customHeight="true" outlineLevel="0" collapsed="false">
      <c r="B22" s="4" t="s">
        <v>19</v>
      </c>
      <c r="C22" s="4"/>
      <c r="D22" s="4"/>
      <c r="E22" s="4"/>
    </row>
    <row r="24" customFormat="false" ht="15" hidden="false" customHeight="true" outlineLevel="0" collapsed="false">
      <c r="B24" s="10" t="s">
        <v>20</v>
      </c>
      <c r="C24" s="10"/>
      <c r="D24" s="10"/>
      <c r="E24" s="10"/>
    </row>
    <row r="25" customFormat="false" ht="15" hidden="false" customHeight="true" outlineLevel="0" collapsed="false">
      <c r="B25" s="10"/>
      <c r="C25" s="10"/>
      <c r="D25" s="10"/>
      <c r="E25" s="10"/>
    </row>
  </sheetData>
  <mergeCells count="12">
    <mergeCell ref="B5:E5"/>
    <mergeCell ref="C11:E11"/>
    <mergeCell ref="C12:E12"/>
    <mergeCell ref="C13:E13"/>
    <mergeCell ref="C14:E14"/>
    <mergeCell ref="B17:E17"/>
    <mergeCell ref="B18:E18"/>
    <mergeCell ref="B19:E19"/>
    <mergeCell ref="B20:E20"/>
    <mergeCell ref="B21:E21"/>
    <mergeCell ref="B22:E22"/>
    <mergeCell ref="B24:E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2"/>
    <col collapsed="false" customWidth="true" hidden="false" outlineLevel="0" max="4" min="3" style="1" width="16"/>
    <col collapsed="false" customWidth="true" hidden="false" outlineLevel="0" max="5" min="5" style="1" width="46"/>
  </cols>
  <sheetData>
    <row r="2" customFormat="false" ht="19.5" hidden="false" customHeight="true" outlineLevel="0" collapsed="false">
      <c r="B2" s="11" t="s">
        <v>21</v>
      </c>
    </row>
    <row r="4" customFormat="false" ht="26.25" hidden="false" customHeight="true" outlineLevel="0" collapsed="false">
      <c r="B4" s="12" t="s">
        <v>22</v>
      </c>
      <c r="C4" s="12" t="s">
        <v>23</v>
      </c>
      <c r="D4" s="12" t="s">
        <v>24</v>
      </c>
      <c r="E4" s="12" t="s">
        <v>25</v>
      </c>
    </row>
    <row r="5" customFormat="false" ht="27.75" hidden="false" customHeight="true" outlineLevel="0" collapsed="false">
      <c r="B5" s="13" t="s">
        <v>26</v>
      </c>
      <c r="C5" s="14" t="n">
        <v>429000</v>
      </c>
      <c r="D5" s="15" t="n">
        <f aca="false">C5/$C$21</f>
        <v>0.179573043114274</v>
      </c>
      <c r="E5" s="16" t="s">
        <v>27</v>
      </c>
    </row>
    <row r="6" customFormat="false" ht="27.75" hidden="false" customHeight="true" outlineLevel="0" collapsed="false">
      <c r="B6" s="13" t="s">
        <v>28</v>
      </c>
      <c r="C6" s="14" t="n">
        <v>25000</v>
      </c>
      <c r="D6" s="15" t="n">
        <f aca="false">C6/$C$21</f>
        <v>0.0104646295521139</v>
      </c>
      <c r="E6" s="16" t="s">
        <v>29</v>
      </c>
    </row>
    <row r="7" customFormat="false" ht="27.75" hidden="false" customHeight="true" outlineLevel="0" collapsed="false">
      <c r="B7" s="13" t="s">
        <v>30</v>
      </c>
      <c r="C7" s="14" t="n">
        <v>525000</v>
      </c>
      <c r="D7" s="15" t="n">
        <f aca="false">C7/$C$21</f>
        <v>0.219757220594391</v>
      </c>
      <c r="E7" s="16" t="s">
        <v>31</v>
      </c>
    </row>
    <row r="8" customFormat="false" ht="27.75" hidden="false" customHeight="true" outlineLevel="0" collapsed="false">
      <c r="B8" s="13" t="s">
        <v>32</v>
      </c>
      <c r="C8" s="14" t="n">
        <v>150000</v>
      </c>
      <c r="D8" s="15" t="n">
        <f aca="false">C8/$C$21</f>
        <v>0.0627877773126831</v>
      </c>
      <c r="E8" s="16" t="s">
        <v>33</v>
      </c>
    </row>
    <row r="9" customFormat="false" ht="27.75" hidden="false" customHeight="true" outlineLevel="0" collapsed="false">
      <c r="B9" s="13" t="s">
        <v>34</v>
      </c>
      <c r="C9" s="14" t="n">
        <v>325000</v>
      </c>
      <c r="D9" s="15" t="n">
        <f aca="false">C9/$C$21</f>
        <v>0.13604018417748</v>
      </c>
      <c r="E9" s="16" t="s">
        <v>35</v>
      </c>
    </row>
    <row r="10" customFormat="false" ht="27.75" hidden="false" customHeight="true" outlineLevel="0" collapsed="false">
      <c r="B10" s="13" t="s">
        <v>36</v>
      </c>
      <c r="C10" s="14" t="n">
        <v>100000</v>
      </c>
      <c r="D10" s="15" t="n">
        <f aca="false">C10/$C$21</f>
        <v>0.0418585182084554</v>
      </c>
      <c r="E10" s="16" t="s">
        <v>37</v>
      </c>
    </row>
    <row r="11" customFormat="false" ht="27.75" hidden="false" customHeight="true" outlineLevel="0" collapsed="false">
      <c r="B11" s="13" t="s">
        <v>38</v>
      </c>
      <c r="C11" s="14" t="n">
        <v>75000</v>
      </c>
      <c r="D11" s="15" t="n">
        <f aca="false">C11/$C$21</f>
        <v>0.0313938886563416</v>
      </c>
      <c r="E11" s="16" t="s">
        <v>39</v>
      </c>
    </row>
    <row r="12" customFormat="false" ht="27.75" hidden="false" customHeight="true" outlineLevel="0" collapsed="false">
      <c r="B12" s="13" t="s">
        <v>40</v>
      </c>
      <c r="C12" s="14" t="n">
        <v>110000</v>
      </c>
      <c r="D12" s="15" t="n">
        <f aca="false">C12/$C$21</f>
        <v>0.046044370029301</v>
      </c>
      <c r="E12" s="16" t="s">
        <v>41</v>
      </c>
    </row>
    <row r="13" customFormat="false" ht="27.75" hidden="false" customHeight="true" outlineLevel="0" collapsed="false">
      <c r="B13" s="13" t="s">
        <v>42</v>
      </c>
      <c r="C13" s="14" t="n">
        <v>35000</v>
      </c>
      <c r="D13" s="15" t="n">
        <f aca="false">C13/$C$21</f>
        <v>0.0146504813729594</v>
      </c>
      <c r="E13" s="16" t="s">
        <v>43</v>
      </c>
    </row>
    <row r="14" customFormat="false" ht="27.75" hidden="false" customHeight="true" outlineLevel="0" collapsed="false">
      <c r="B14" s="13" t="s">
        <v>44</v>
      </c>
      <c r="C14" s="14" t="n">
        <v>25000</v>
      </c>
      <c r="D14" s="15" t="n">
        <f aca="false">C14/$C$21</f>
        <v>0.0104646295521139</v>
      </c>
      <c r="E14" s="16" t="s">
        <v>45</v>
      </c>
    </row>
    <row r="15" customFormat="false" ht="27.75" hidden="false" customHeight="true" outlineLevel="0" collapsed="false">
      <c r="B15" s="13" t="s">
        <v>46</v>
      </c>
      <c r="C15" s="14" t="n">
        <v>40000</v>
      </c>
      <c r="D15" s="15" t="n">
        <f aca="false">C15/$C$21</f>
        <v>0.0167434072833822</v>
      </c>
      <c r="E15" s="16" t="s">
        <v>47</v>
      </c>
    </row>
    <row r="16" customFormat="false" ht="27.75" hidden="false" customHeight="true" outlineLevel="0" collapsed="false">
      <c r="B16" s="13" t="s">
        <v>48</v>
      </c>
      <c r="C16" s="14" t="n">
        <v>50000</v>
      </c>
      <c r="D16" s="15" t="n">
        <f aca="false">C16/$C$21</f>
        <v>0.0209292591042277</v>
      </c>
      <c r="E16" s="16" t="s">
        <v>49</v>
      </c>
    </row>
    <row r="17" customFormat="false" ht="27.75" hidden="false" customHeight="true" outlineLevel="0" collapsed="false">
      <c r="B17" s="13" t="s">
        <v>50</v>
      </c>
      <c r="C17" s="14" t="n">
        <v>100000</v>
      </c>
      <c r="D17" s="15" t="n">
        <f aca="false">C17/$C$21</f>
        <v>0.0418585182084554</v>
      </c>
      <c r="E17" s="16" t="s">
        <v>37</v>
      </c>
    </row>
    <row r="18" customFormat="false" ht="27.75" hidden="false" customHeight="true" outlineLevel="0" collapsed="false">
      <c r="B18" s="13" t="s">
        <v>51</v>
      </c>
      <c r="C18" s="14" t="n">
        <v>50000</v>
      </c>
      <c r="D18" s="15" t="n">
        <f aca="false">C18/$C$21</f>
        <v>0.0209292591042277</v>
      </c>
      <c r="E18" s="16" t="s">
        <v>37</v>
      </c>
    </row>
    <row r="19" customFormat="false" ht="27.75" hidden="false" customHeight="true" outlineLevel="0" collapsed="false">
      <c r="B19" s="13" t="s">
        <v>52</v>
      </c>
      <c r="C19" s="14" t="n">
        <v>100000</v>
      </c>
      <c r="D19" s="15" t="n">
        <f aca="false">C19/$C$21</f>
        <v>0.0418585182084554</v>
      </c>
      <c r="E19" s="16" t="s">
        <v>37</v>
      </c>
    </row>
    <row r="20" customFormat="false" ht="27.75" hidden="false" customHeight="true" outlineLevel="0" collapsed="false">
      <c r="B20" s="13" t="s">
        <v>53</v>
      </c>
      <c r="C20" s="14" t="n">
        <v>250000</v>
      </c>
      <c r="D20" s="15" t="n">
        <f aca="false">C20/$C$21</f>
        <v>0.104646295521139</v>
      </c>
      <c r="E20" s="16" t="s">
        <v>54</v>
      </c>
    </row>
    <row r="21" customFormat="false" ht="15" hidden="false" customHeight="true" outlineLevel="0" collapsed="false">
      <c r="B21" s="17" t="s">
        <v>55</v>
      </c>
      <c r="C21" s="18" t="n">
        <f aca="false">SUM(C5:C20)</f>
        <v>2389000</v>
      </c>
      <c r="D21" s="19" t="n">
        <f aca="false">D20</f>
        <v>0.104646295521139</v>
      </c>
      <c r="E21" s="20"/>
    </row>
    <row r="23" customFormat="false" ht="15.75" hidden="false" customHeight="true" outlineLevel="0" collapsed="false">
      <c r="B23" s="21" t="s">
        <v>56</v>
      </c>
      <c r="C23" s="22" t="n">
        <v>2500000</v>
      </c>
      <c r="D23" s="23" t="n">
        <f aca="false">C23-C21</f>
        <v>111000</v>
      </c>
      <c r="E23" s="24" t="s">
        <v>57</v>
      </c>
    </row>
    <row r="25" customFormat="false" ht="15" hidden="false" customHeight="true" outlineLevel="0" collapsed="false">
      <c r="B25" s="25" t="s">
        <v>58</v>
      </c>
      <c r="C25" s="26" t="n">
        <f aca="false">C23-C5</f>
        <v>2071000</v>
      </c>
      <c r="E25" s="27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52"/>
    <col collapsed="false" customWidth="true" hidden="false" outlineLevel="0" max="4" min="4" style="0" width="3"/>
  </cols>
  <sheetData>
    <row r="2" customFormat="false" ht="19.7" hidden="false" customHeight="false" outlineLevel="0" collapsed="false">
      <c r="B2" s="28" t="s">
        <v>60</v>
      </c>
    </row>
    <row r="3" customFormat="false" ht="15" hidden="false" customHeight="false" outlineLevel="0" collapsed="false">
      <c r="B3" s="29" t="s">
        <v>61</v>
      </c>
    </row>
    <row r="5" customFormat="false" ht="15" hidden="false" customHeight="false" outlineLevel="0" collapsed="false">
      <c r="B5" s="12" t="s">
        <v>62</v>
      </c>
      <c r="C5" s="12" t="s">
        <v>63</v>
      </c>
    </row>
    <row r="6" customFormat="false" ht="49.5" hidden="false" customHeight="true" outlineLevel="0" collapsed="false">
      <c r="B6" s="30" t="s">
        <v>64</v>
      </c>
      <c r="C6" s="31" t="s">
        <v>65</v>
      </c>
    </row>
    <row r="7" customFormat="false" ht="49.5" hidden="false" customHeight="true" outlineLevel="0" collapsed="false">
      <c r="B7" s="30" t="s">
        <v>66</v>
      </c>
      <c r="C7" s="31" t="s">
        <v>67</v>
      </c>
    </row>
    <row r="8" customFormat="false" ht="49.5" hidden="false" customHeight="true" outlineLevel="0" collapsed="false">
      <c r="B8" s="30" t="s">
        <v>68</v>
      </c>
      <c r="C8" s="31" t="s">
        <v>69</v>
      </c>
    </row>
    <row r="9" customFormat="false" ht="49.5" hidden="false" customHeight="true" outlineLevel="0" collapsed="false">
      <c r="B9" s="30" t="s">
        <v>70</v>
      </c>
      <c r="C9" s="31" t="s">
        <v>71</v>
      </c>
    </row>
    <row r="10" customFormat="false" ht="49.5" hidden="false" customHeight="true" outlineLevel="0" collapsed="false">
      <c r="B10" s="30" t="s">
        <v>72</v>
      </c>
      <c r="C10" s="31" t="s">
        <v>73</v>
      </c>
    </row>
    <row r="11" customFormat="false" ht="49.5" hidden="false" customHeight="true" outlineLevel="0" collapsed="false">
      <c r="B11" s="30" t="s">
        <v>74</v>
      </c>
      <c r="C11" s="31" t="s">
        <v>75</v>
      </c>
    </row>
    <row r="12" customFormat="false" ht="49.5" hidden="false" customHeight="true" outlineLevel="0" collapsed="false">
      <c r="B12" s="30" t="s">
        <v>76</v>
      </c>
      <c r="C12" s="31" t="s">
        <v>77</v>
      </c>
    </row>
    <row r="13" customFormat="false" ht="49.5" hidden="false" customHeight="true" outlineLevel="0" collapsed="false">
      <c r="B13" s="30" t="s">
        <v>78</v>
      </c>
      <c r="C13" s="31" t="s">
        <v>79</v>
      </c>
    </row>
    <row r="14" customFormat="false" ht="49.5" hidden="false" customHeight="true" outlineLevel="0" collapsed="false">
      <c r="B14" s="30" t="s">
        <v>80</v>
      </c>
      <c r="C14" s="31" t="s">
        <v>81</v>
      </c>
    </row>
    <row r="15" customFormat="false" ht="49.5" hidden="false" customHeight="true" outlineLevel="0" collapsed="false">
      <c r="B15" s="30" t="s">
        <v>82</v>
      </c>
      <c r="C15" s="31" t="s">
        <v>83</v>
      </c>
    </row>
    <row r="16" customFormat="false" ht="49.5" hidden="false" customHeight="true" outlineLevel="0" collapsed="false">
      <c r="B16" s="30" t="s">
        <v>84</v>
      </c>
      <c r="C16" s="31" t="s">
        <v>85</v>
      </c>
    </row>
    <row r="17" customFormat="false" ht="49.5" hidden="false" customHeight="true" outlineLevel="0" collapsed="false">
      <c r="B17" s="30" t="s">
        <v>86</v>
      </c>
      <c r="C17" s="31" t="s">
        <v>87</v>
      </c>
    </row>
    <row r="18" customFormat="false" ht="49.5" hidden="false" customHeight="true" outlineLevel="0" collapsed="false">
      <c r="B18" s="30" t="s">
        <v>88</v>
      </c>
      <c r="C18" s="31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7" min="3" style="1" width="16"/>
    <col collapsed="false" customWidth="true" hidden="false" outlineLevel="0" max="8" min="8" style="1" width="46"/>
  </cols>
  <sheetData>
    <row r="2" customFormat="false" ht="19.5" hidden="false" customHeight="true" outlineLevel="0" collapsed="false">
      <c r="B2" s="11" t="s">
        <v>90</v>
      </c>
    </row>
    <row r="3" customFormat="false" ht="15" hidden="false" customHeight="true" outlineLevel="0" collapsed="false">
      <c r="B3" s="27" t="s">
        <v>91</v>
      </c>
    </row>
    <row r="5" customFormat="false" ht="15" hidden="false" customHeight="true" outlineLevel="0" collapsed="false">
      <c r="B5" s="32" t="s">
        <v>92</v>
      </c>
    </row>
    <row r="6" customFormat="false" ht="15" hidden="false" customHeight="true" outlineLevel="0" collapsed="false">
      <c r="B6" s="1" t="s">
        <v>93</v>
      </c>
      <c r="C6" s="33" t="n">
        <v>19.99</v>
      </c>
    </row>
    <row r="7" customFormat="false" ht="15" hidden="false" customHeight="true" outlineLevel="0" collapsed="false">
      <c r="B7" s="1" t="s">
        <v>94</v>
      </c>
      <c r="C7" s="34" t="n">
        <v>100</v>
      </c>
    </row>
    <row r="9" customFormat="false" ht="26.25" hidden="false" customHeight="true" outlineLevel="0" collapsed="false">
      <c r="B9" s="12" t="s">
        <v>95</v>
      </c>
      <c r="C9" s="12" t="s">
        <v>96</v>
      </c>
      <c r="D9" s="12" t="s">
        <v>97</v>
      </c>
    </row>
    <row r="10" customFormat="false" ht="15" hidden="false" customHeight="true" outlineLevel="0" collapsed="false">
      <c r="B10" s="35" t="n">
        <v>100</v>
      </c>
      <c r="C10" s="36" t="n">
        <f aca="false">B10*$C$6</f>
        <v>1999</v>
      </c>
      <c r="D10" s="36" t="n">
        <f aca="false">C10*12</f>
        <v>23988</v>
      </c>
    </row>
    <row r="11" customFormat="false" ht="15" hidden="false" customHeight="true" outlineLevel="0" collapsed="false">
      <c r="B11" s="35" t="n">
        <v>1000</v>
      </c>
      <c r="C11" s="36" t="n">
        <f aca="false">B11*$C$6</f>
        <v>19990</v>
      </c>
      <c r="D11" s="36" t="n">
        <f aca="false">C11*12</f>
        <v>239880</v>
      </c>
    </row>
    <row r="12" customFormat="false" ht="15" hidden="false" customHeight="true" outlineLevel="0" collapsed="false">
      <c r="B12" s="35" t="n">
        <v>5000</v>
      </c>
      <c r="C12" s="36" t="n">
        <f aca="false">B12*$C$6</f>
        <v>99950</v>
      </c>
      <c r="D12" s="36" t="n">
        <f aca="false">C12*12</f>
        <v>1199400</v>
      </c>
    </row>
    <row r="13" customFormat="false" ht="15" hidden="false" customHeight="true" outlineLevel="0" collapsed="false">
      <c r="B13" s="35" t="n">
        <v>10000</v>
      </c>
      <c r="C13" s="36" t="n">
        <f aca="false">B13*$C$6</f>
        <v>199900</v>
      </c>
      <c r="D13" s="36" t="n">
        <f aca="false">C13*12</f>
        <v>2398800</v>
      </c>
    </row>
    <row r="14" customFormat="false" ht="15" hidden="false" customHeight="true" outlineLevel="0" collapsed="false">
      <c r="B14" s="35" t="n">
        <v>25000</v>
      </c>
      <c r="C14" s="36" t="n">
        <f aca="false">B14*$C$6</f>
        <v>499750</v>
      </c>
      <c r="D14" s="36" t="n">
        <f aca="false">C14*12</f>
        <v>5997000</v>
      </c>
    </row>
    <row r="15" customFormat="false" ht="15" hidden="false" customHeight="true" outlineLevel="0" collapsed="false">
      <c r="B15" s="35" t="n">
        <v>50000</v>
      </c>
      <c r="C15" s="36" t="n">
        <f aca="false">B15*$C$6</f>
        <v>999500</v>
      </c>
      <c r="D15" s="36" t="n">
        <f aca="false">C15*12</f>
        <v>11994000</v>
      </c>
    </row>
    <row r="18" customFormat="false" ht="15" hidden="false" customHeight="true" outlineLevel="0" collapsed="false">
      <c r="B18" s="32" t="s">
        <v>98</v>
      </c>
    </row>
    <row r="19" customFormat="false" ht="15" hidden="false" customHeight="true" outlineLevel="0" collapsed="false">
      <c r="B19" s="37" t="s">
        <v>99</v>
      </c>
      <c r="C19" s="38" t="n">
        <v>25000</v>
      </c>
    </row>
    <row r="20" customFormat="false" ht="15" hidden="false" customHeight="true" outlineLevel="0" collapsed="false">
      <c r="B20" s="37" t="s">
        <v>100</v>
      </c>
      <c r="C20" s="38" t="n">
        <v>299</v>
      </c>
    </row>
    <row r="22" customFormat="false" ht="26.25" hidden="false" customHeight="true" outlineLevel="0" collapsed="false">
      <c r="B22" s="12" t="s">
        <v>101</v>
      </c>
      <c r="C22" s="12" t="s">
        <v>102</v>
      </c>
    </row>
    <row r="23" customFormat="false" ht="15" hidden="false" customHeight="true" outlineLevel="0" collapsed="false">
      <c r="B23" s="35" t="n">
        <v>1</v>
      </c>
      <c r="C23" s="36" t="n">
        <f aca="false">B23*($C$19+$C$20*12)</f>
        <v>28588</v>
      </c>
    </row>
    <row r="24" customFormat="false" ht="15" hidden="false" customHeight="true" outlineLevel="0" collapsed="false">
      <c r="B24" s="35" t="n">
        <v>10</v>
      </c>
      <c r="C24" s="36" t="n">
        <f aca="false">B24*($C$19+$C$20*12)</f>
        <v>285880</v>
      </c>
    </row>
    <row r="25" customFormat="false" ht="15" hidden="false" customHeight="true" outlineLevel="0" collapsed="false">
      <c r="B25" s="35" t="n">
        <v>25</v>
      </c>
      <c r="C25" s="36" t="n">
        <f aca="false">B25*($C$19+$C$20*12)</f>
        <v>714700</v>
      </c>
    </row>
    <row r="28" customFormat="false" ht="15" hidden="false" customHeight="true" outlineLevel="0" collapsed="false">
      <c r="B28" s="32" t="s">
        <v>103</v>
      </c>
    </row>
    <row r="29" customFormat="false" ht="15" hidden="false" customHeight="true" outlineLevel="0" collapsed="false">
      <c r="B29" s="37" t="s">
        <v>104</v>
      </c>
      <c r="C29" s="38" t="n">
        <v>350000</v>
      </c>
    </row>
    <row r="31" customFormat="false" ht="15" hidden="false" customHeight="true" outlineLevel="0" collapsed="false">
      <c r="B31" s="12" t="s">
        <v>101</v>
      </c>
      <c r="C31" s="12" t="s">
        <v>105</v>
      </c>
    </row>
    <row r="32" customFormat="false" ht="15" hidden="false" customHeight="true" outlineLevel="0" collapsed="false">
      <c r="B32" s="35" t="n">
        <v>1</v>
      </c>
      <c r="C32" s="36" t="n">
        <f aca="false">B32*$C$29</f>
        <v>350000</v>
      </c>
    </row>
    <row r="33" customFormat="false" ht="15" hidden="false" customHeight="true" outlineLevel="0" collapsed="false">
      <c r="B33" s="35" t="n">
        <v>5</v>
      </c>
      <c r="C33" s="36" t="n">
        <f aca="false">B33*$C$29</f>
        <v>1750000</v>
      </c>
    </row>
    <row r="34" customFormat="false" ht="15" hidden="false" customHeight="true" outlineLevel="0" collapsed="false">
      <c r="B34" s="35" t="n">
        <v>10</v>
      </c>
      <c r="C34" s="36" t="n">
        <f aca="false">B34*$C$29</f>
        <v>3500000</v>
      </c>
    </row>
    <row r="37" customFormat="false" ht="15" hidden="false" customHeight="true" outlineLevel="0" collapsed="false">
      <c r="B37" s="32" t="s">
        <v>106</v>
      </c>
    </row>
    <row r="38" customFormat="false" ht="15" hidden="false" customHeight="true" outlineLevel="0" collapsed="false">
      <c r="B38" s="12" t="s">
        <v>107</v>
      </c>
      <c r="C38" s="12" t="s">
        <v>108</v>
      </c>
      <c r="D38" s="12" t="s">
        <v>109</v>
      </c>
    </row>
    <row r="39" customFormat="false" ht="30" hidden="false" customHeight="true" outlineLevel="0" collapsed="false">
      <c r="B39" s="13" t="s">
        <v>110</v>
      </c>
      <c r="C39" s="36" t="n">
        <f aca="false">3*1900*12</f>
        <v>68400</v>
      </c>
      <c r="D39" s="39" t="s">
        <v>111</v>
      </c>
    </row>
    <row r="40" customFormat="false" ht="30" hidden="false" customHeight="true" outlineLevel="0" collapsed="false">
      <c r="B40" s="13" t="s">
        <v>112</v>
      </c>
      <c r="C40" s="36" t="n">
        <f aca="false">2800*17.5</f>
        <v>49000</v>
      </c>
      <c r="D40" s="39" t="s">
        <v>113</v>
      </c>
    </row>
    <row r="41" customFormat="false" ht="30" hidden="false" customHeight="true" outlineLevel="0" collapsed="false">
      <c r="B41" s="13" t="s">
        <v>114</v>
      </c>
      <c r="C41" s="14" t="n">
        <v>22000</v>
      </c>
      <c r="D41" s="39" t="s">
        <v>115</v>
      </c>
    </row>
    <row r="42" customFormat="false" ht="30" hidden="false" customHeight="true" outlineLevel="0" collapsed="false">
      <c r="B42" s="13" t="s">
        <v>116</v>
      </c>
      <c r="C42" s="14" t="n">
        <v>60000</v>
      </c>
      <c r="D42" s="39" t="s">
        <v>117</v>
      </c>
    </row>
    <row r="44" customFormat="false" ht="15" hidden="false" customHeight="true" outlineLevel="0" collapsed="false">
      <c r="B44" s="40" t="s">
        <v>118</v>
      </c>
      <c r="C44" s="41" t="n">
        <f aca="false">C39+C40+C41</f>
        <v>139400</v>
      </c>
    </row>
    <row r="47" customFormat="false" ht="15" hidden="false" customHeight="true" outlineLevel="0" collapsed="false">
      <c r="B47" s="42" t="s">
        <v>119</v>
      </c>
    </row>
    <row r="48" customFormat="false" ht="15" hidden="false" customHeight="true" outlineLevel="0" collapsed="false">
      <c r="B48" s="13" t="s">
        <v>120</v>
      </c>
      <c r="C48" s="36" t="n">
        <f aca="false">10000*$C$6*12</f>
        <v>2398800</v>
      </c>
    </row>
    <row r="49" customFormat="false" ht="15" hidden="false" customHeight="true" outlineLevel="0" collapsed="false">
      <c r="B49" s="13" t="s">
        <v>121</v>
      </c>
      <c r="C49" s="36" t="n">
        <f aca="false">10*($C$19+$C$20*12)</f>
        <v>285880</v>
      </c>
    </row>
    <row r="50" customFormat="false" ht="15" hidden="false" customHeight="true" outlineLevel="0" collapsed="false">
      <c r="B50" s="13" t="s">
        <v>122</v>
      </c>
      <c r="C50" s="36" t="n">
        <f aca="false">5*$C$29</f>
        <v>1750000</v>
      </c>
    </row>
    <row r="51" customFormat="false" ht="15" hidden="false" customHeight="true" outlineLevel="0" collapsed="false">
      <c r="B51" s="13" t="s">
        <v>123</v>
      </c>
      <c r="C51" s="36" t="n">
        <f aca="false">C44</f>
        <v>139400</v>
      </c>
    </row>
    <row r="52" customFormat="false" ht="15" hidden="false" customHeight="true" outlineLevel="0" collapsed="false">
      <c r="B52" s="43" t="s">
        <v>124</v>
      </c>
      <c r="C52" s="44" t="n">
        <f aca="false">SUM(C48:C51)</f>
        <v>4574080</v>
      </c>
    </row>
    <row r="55" customFormat="false" ht="16.15" hidden="false" customHeight="false" outlineLevel="0" collapsed="false">
      <c r="B55" s="45" t="s">
        <v>125</v>
      </c>
    </row>
    <row r="56" customFormat="false" ht="22.35" hidden="false" customHeight="true" outlineLevel="0" collapsed="false">
      <c r="B56" s="46" t="s">
        <v>126</v>
      </c>
      <c r="C56" s="46"/>
      <c r="D56" s="46"/>
      <c r="E56" s="46"/>
      <c r="F56" s="46"/>
    </row>
    <row r="58" customFormat="false" ht="15" hidden="false" customHeight="false" outlineLevel="0" collapsed="false">
      <c r="B58" s="12" t="s">
        <v>127</v>
      </c>
      <c r="C58" s="12" t="s">
        <v>108</v>
      </c>
      <c r="D58" s="12" t="s">
        <v>25</v>
      </c>
    </row>
    <row r="59" customFormat="false" ht="27.75" hidden="false" customHeight="true" outlineLevel="0" collapsed="false">
      <c r="B59" s="47" t="s">
        <v>128</v>
      </c>
      <c r="C59" s="48" t="n">
        <f aca="false">C44</f>
        <v>139400</v>
      </c>
      <c r="D59" s="49" t="s">
        <v>129</v>
      </c>
    </row>
    <row r="60" customFormat="false" ht="27.75" hidden="false" customHeight="true" outlineLevel="0" collapsed="false">
      <c r="B60" s="47" t="s">
        <v>130</v>
      </c>
      <c r="C60" s="48" t="n">
        <f aca="false">'Labor &amp; Wages'!F14*-1</f>
        <v>-123427.2</v>
      </c>
      <c r="D60" s="49" t="s">
        <v>131</v>
      </c>
    </row>
    <row r="61" customFormat="false" ht="27.75" hidden="false" customHeight="true" outlineLevel="0" collapsed="false">
      <c r="B61" s="47" t="s">
        <v>132</v>
      </c>
      <c r="C61" s="50" t="n">
        <v>-5150</v>
      </c>
      <c r="D61" s="39" t="s">
        <v>133</v>
      </c>
    </row>
    <row r="62" customFormat="false" ht="27.75" hidden="false" customHeight="true" outlineLevel="0" collapsed="false">
      <c r="B62" s="47" t="s">
        <v>134</v>
      </c>
      <c r="C62" s="50" t="n">
        <v>-10000</v>
      </c>
      <c r="D62" s="39" t="s">
        <v>135</v>
      </c>
    </row>
    <row r="63" customFormat="false" ht="27.75" hidden="false" customHeight="true" outlineLevel="0" collapsed="false">
      <c r="B63" s="47" t="s">
        <v>136</v>
      </c>
      <c r="C63" s="50" t="n">
        <v>-24000</v>
      </c>
      <c r="D63" s="49" t="s">
        <v>137</v>
      </c>
    </row>
    <row r="64" customFormat="false" ht="27.75" hidden="false" customHeight="true" outlineLevel="0" collapsed="false">
      <c r="B64" s="47" t="s">
        <v>138</v>
      </c>
      <c r="C64" s="48" t="n">
        <f aca="false">-C46*0.03</f>
        <v>-0</v>
      </c>
      <c r="D64" s="49" t="s">
        <v>139</v>
      </c>
    </row>
    <row r="65" customFormat="false" ht="74.6" hidden="false" customHeight="false" outlineLevel="0" collapsed="false">
      <c r="B65" s="51" t="s">
        <v>140</v>
      </c>
      <c r="C65" s="52" t="n">
        <f aca="false">SUM(C59:C64)</f>
        <v>-23177.2</v>
      </c>
      <c r="D65" s="53" t="s">
        <v>141</v>
      </c>
    </row>
    <row r="67" customFormat="false" ht="15" hidden="false" customHeight="false" outlineLevel="0" collapsed="false">
      <c r="B67" s="54" t="s">
        <v>142</v>
      </c>
    </row>
    <row r="68" customFormat="false" ht="90" hidden="false" customHeight="true" outlineLevel="0" collapsed="false">
      <c r="B68" s="55" t="s">
        <v>143</v>
      </c>
      <c r="C68" s="55"/>
      <c r="D68" s="55"/>
      <c r="E68" s="55"/>
      <c r="F68" s="55"/>
      <c r="G68" s="55"/>
    </row>
    <row r="69" customFormat="false" ht="15" hidden="false" customHeight="false" outlineLevel="0" collapsed="false">
      <c r="B69" s="55"/>
      <c r="C69" s="55"/>
      <c r="D69" s="55"/>
      <c r="E69" s="55"/>
      <c r="F69" s="55"/>
      <c r="G69" s="55"/>
    </row>
    <row r="70" customFormat="false" ht="15" hidden="false" customHeight="false" outlineLevel="0" collapsed="false">
      <c r="B70" s="55"/>
      <c r="C70" s="55"/>
      <c r="D70" s="55"/>
      <c r="E70" s="55"/>
      <c r="F70" s="55"/>
      <c r="G70" s="55"/>
    </row>
    <row r="72" customFormat="false" ht="16.15" hidden="false" customHeight="false" outlineLevel="0" collapsed="false">
      <c r="B72" s="45" t="s">
        <v>144</v>
      </c>
    </row>
    <row r="73" customFormat="false" ht="26.85" hidden="false" customHeight="false" outlineLevel="0" collapsed="false">
      <c r="B73" s="12" t="s">
        <v>145</v>
      </c>
      <c r="C73" s="12" t="s">
        <v>105</v>
      </c>
      <c r="D73" s="12" t="s">
        <v>146</v>
      </c>
      <c r="E73" s="12" t="s">
        <v>147</v>
      </c>
      <c r="F73" s="12" t="s">
        <v>148</v>
      </c>
    </row>
    <row r="74" customFormat="false" ht="31.5" hidden="false" customHeight="true" outlineLevel="0" collapsed="false">
      <c r="B74" s="47" t="s">
        <v>149</v>
      </c>
      <c r="C74" s="48" t="n">
        <f aca="false">C48</f>
        <v>2398800</v>
      </c>
      <c r="D74" s="56" t="n">
        <v>0.75</v>
      </c>
      <c r="E74" s="48" t="n">
        <f aca="false">C74*D74</f>
        <v>1799100</v>
      </c>
      <c r="F74" s="39" t="s">
        <v>150</v>
      </c>
    </row>
    <row r="75" customFormat="false" ht="31.5" hidden="false" customHeight="true" outlineLevel="0" collapsed="false">
      <c r="B75" s="47" t="s">
        <v>151</v>
      </c>
      <c r="C75" s="48" t="n">
        <f aca="false">C49</f>
        <v>285880</v>
      </c>
      <c r="D75" s="56" t="n">
        <v>0.35</v>
      </c>
      <c r="E75" s="48" t="n">
        <f aca="false">C75*D75</f>
        <v>100058</v>
      </c>
      <c r="F75" s="39" t="s">
        <v>152</v>
      </c>
    </row>
    <row r="76" customFormat="false" ht="31.5" hidden="false" customHeight="true" outlineLevel="0" collapsed="false">
      <c r="B76" s="47" t="s">
        <v>153</v>
      </c>
      <c r="C76" s="48" t="n">
        <f aca="false">C50</f>
        <v>1750000</v>
      </c>
      <c r="D76" s="56" t="n">
        <v>0.2</v>
      </c>
      <c r="E76" s="48" t="n">
        <f aca="false">C76*D76</f>
        <v>350000</v>
      </c>
      <c r="F76" s="39" t="s">
        <v>154</v>
      </c>
    </row>
    <row r="77" customFormat="false" ht="31.5" hidden="false" customHeight="true" outlineLevel="0" collapsed="false">
      <c r="B77" s="47" t="s">
        <v>155</v>
      </c>
      <c r="C77" s="48" t="n">
        <f aca="false">C65</f>
        <v>-23177.2</v>
      </c>
      <c r="D77" s="56" t="n">
        <v>1</v>
      </c>
      <c r="E77" s="48" t="n">
        <f aca="false">C77*D77</f>
        <v>-23177.2</v>
      </c>
      <c r="F77" s="39" t="s">
        <v>156</v>
      </c>
    </row>
    <row r="78" customFormat="false" ht="15" hidden="false" customHeight="false" outlineLevel="0" collapsed="false">
      <c r="B78" s="51" t="s">
        <v>157</v>
      </c>
      <c r="C78" s="57"/>
      <c r="D78" s="57"/>
      <c r="E78" s="52" t="n">
        <f aca="false">SUM(E74:E77)</f>
        <v>2225980.8</v>
      </c>
    </row>
    <row r="79" customFormat="false" ht="15" hidden="false" customHeight="false" outlineLevel="0" collapsed="false">
      <c r="B79" s="58" t="s">
        <v>158</v>
      </c>
      <c r="E79" s="59" t="n">
        <f aca="false">E78/C52</f>
        <v>0.486651042395411</v>
      </c>
    </row>
    <row r="81" customFormat="false" ht="99.75" hidden="false" customHeight="true" outlineLevel="0" collapsed="false">
      <c r="B81" s="55" t="s">
        <v>159</v>
      </c>
      <c r="C81" s="55"/>
      <c r="D81" s="55"/>
      <c r="E81" s="55"/>
      <c r="F81" s="55"/>
      <c r="G81" s="55"/>
    </row>
    <row r="82" customFormat="false" ht="15" hidden="false" customHeight="false" outlineLevel="0" collapsed="false">
      <c r="B82" s="55"/>
      <c r="C82" s="55"/>
      <c r="D82" s="55"/>
      <c r="E82" s="55"/>
      <c r="F82" s="55"/>
      <c r="G82" s="55"/>
    </row>
    <row r="83" customFormat="false" ht="15" hidden="false" customHeight="false" outlineLevel="0" collapsed="false">
      <c r="B83" s="55"/>
      <c r="C83" s="55"/>
      <c r="D83" s="55"/>
      <c r="E83" s="55"/>
      <c r="F83" s="55"/>
      <c r="G83" s="55"/>
    </row>
    <row r="84" customFormat="false" ht="15" hidden="false" customHeight="false" outlineLevel="0" collapsed="false">
      <c r="B84" s="55"/>
      <c r="C84" s="55"/>
      <c r="D84" s="55"/>
      <c r="E84" s="55"/>
      <c r="F84" s="55"/>
      <c r="G84" s="55"/>
    </row>
  </sheetData>
  <mergeCells count="3">
    <mergeCell ref="B56:F56"/>
    <mergeCell ref="B68:G70"/>
    <mergeCell ref="B81:G8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14"/>
    <col collapsed="false" customWidth="true" hidden="false" outlineLevel="0" max="6" min="6" style="0" width="40"/>
  </cols>
  <sheetData>
    <row r="2" customFormat="false" ht="19.7" hidden="false" customHeight="false" outlineLevel="0" collapsed="false">
      <c r="B2" s="28" t="s">
        <v>160</v>
      </c>
    </row>
    <row r="3" customFormat="false" ht="27.75" hidden="false" customHeight="true" outlineLevel="0" collapsed="false">
      <c r="B3" s="60" t="s">
        <v>161</v>
      </c>
      <c r="C3" s="60"/>
      <c r="D3" s="60"/>
      <c r="E3" s="60"/>
      <c r="F3" s="60"/>
    </row>
    <row r="5" customFormat="false" ht="15" hidden="false" customHeight="false" outlineLevel="0" collapsed="false">
      <c r="B5" s="54" t="s">
        <v>162</v>
      </c>
    </row>
    <row r="6" customFormat="false" ht="60" hidden="false" customHeight="true" outlineLevel="0" collapsed="false">
      <c r="B6" s="61" t="s">
        <v>163</v>
      </c>
      <c r="C6" s="61"/>
      <c r="D6" s="61"/>
      <c r="E6" s="61"/>
      <c r="F6" s="61"/>
    </row>
    <row r="9" customFormat="false" ht="15" hidden="false" customHeight="false" outlineLevel="0" collapsed="false">
      <c r="B9" s="54" t="s">
        <v>164</v>
      </c>
    </row>
    <row r="10" customFormat="false" ht="26.85" hidden="false" customHeight="false" outlineLevel="0" collapsed="false">
      <c r="B10" s="12" t="s">
        <v>165</v>
      </c>
      <c r="C10" s="12" t="s">
        <v>166</v>
      </c>
      <c r="D10" s="12" t="s">
        <v>167</v>
      </c>
      <c r="E10" s="12" t="s">
        <v>168</v>
      </c>
      <c r="F10" s="12" t="s">
        <v>169</v>
      </c>
    </row>
    <row r="11" customFormat="false" ht="30" hidden="false" customHeight="true" outlineLevel="0" collapsed="false">
      <c r="B11" s="62" t="s">
        <v>170</v>
      </c>
      <c r="C11" s="63" t="n">
        <v>28</v>
      </c>
      <c r="D11" s="64" t="n">
        <v>2080</v>
      </c>
      <c r="E11" s="48" t="n">
        <f aca="false">C11*D11</f>
        <v>58240</v>
      </c>
      <c r="F11" s="48" t="n">
        <f aca="false">E11*(1+0.23)</f>
        <v>71635.2</v>
      </c>
    </row>
    <row r="12" customFormat="false" ht="30" hidden="false" customHeight="true" outlineLevel="0" collapsed="false">
      <c r="B12" s="62" t="s">
        <v>171</v>
      </c>
      <c r="C12" s="63" t="n">
        <v>22</v>
      </c>
      <c r="D12" s="64" t="n">
        <v>1040</v>
      </c>
      <c r="E12" s="48" t="n">
        <f aca="false">C12*D12</f>
        <v>22880</v>
      </c>
      <c r="F12" s="48" t="n">
        <f aca="false">E12*(1+0.2)</f>
        <v>27456</v>
      </c>
    </row>
    <row r="13" customFormat="false" ht="30" hidden="false" customHeight="true" outlineLevel="0" collapsed="false">
      <c r="B13" s="62" t="s">
        <v>172</v>
      </c>
      <c r="C13" s="63" t="n">
        <v>26</v>
      </c>
      <c r="D13" s="64" t="n">
        <v>780</v>
      </c>
      <c r="E13" s="48" t="n">
        <f aca="false">C13*D13</f>
        <v>20280</v>
      </c>
      <c r="F13" s="48" t="n">
        <f aca="false">E13*(1+0.2)</f>
        <v>24336</v>
      </c>
    </row>
    <row r="14" customFormat="false" ht="15" hidden="false" customHeight="false" outlineLevel="0" collapsed="false">
      <c r="B14" s="65" t="s">
        <v>173</v>
      </c>
      <c r="F14" s="66" t="n">
        <f aca="false">SUM(F11:F13)</f>
        <v>123427.2</v>
      </c>
    </row>
    <row r="16" customFormat="false" ht="15" hidden="false" customHeight="false" outlineLevel="0" collapsed="false">
      <c r="B16" s="67" t="s">
        <v>174</v>
      </c>
    </row>
    <row r="17" customFormat="false" ht="19.5" hidden="false" customHeight="true" outlineLevel="0" collapsed="false">
      <c r="B17" s="55" t="s">
        <v>175</v>
      </c>
      <c r="C17" s="55"/>
      <c r="D17" s="55"/>
      <c r="E17" s="55"/>
      <c r="F17" s="55"/>
    </row>
    <row r="18" customFormat="false" ht="19.5" hidden="false" customHeight="true" outlineLevel="0" collapsed="false">
      <c r="B18" s="55" t="s">
        <v>176</v>
      </c>
      <c r="C18" s="55"/>
      <c r="D18" s="55"/>
      <c r="E18" s="55"/>
      <c r="F18" s="55"/>
    </row>
    <row r="19" customFormat="false" ht="19.5" hidden="false" customHeight="true" outlineLevel="0" collapsed="false">
      <c r="B19" s="55" t="s">
        <v>177</v>
      </c>
      <c r="C19" s="55"/>
      <c r="D19" s="55"/>
      <c r="E19" s="55"/>
      <c r="F19" s="55"/>
    </row>
    <row r="20" customFormat="false" ht="19.5" hidden="false" customHeight="true" outlineLevel="0" collapsed="false">
      <c r="B20" s="55" t="s">
        <v>178</v>
      </c>
      <c r="C20" s="55"/>
      <c r="D20" s="55"/>
      <c r="E20" s="55"/>
      <c r="F20" s="55"/>
    </row>
  </sheetData>
  <mergeCells count="6">
    <mergeCell ref="B3:F3"/>
    <mergeCell ref="B6:F6"/>
    <mergeCell ref="B17:F17"/>
    <mergeCell ref="B18:F18"/>
    <mergeCell ref="B19:F19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46"/>
    <col collapsed="false" customWidth="true" hidden="false" outlineLevel="0" max="5" min="5" style="0" width="3"/>
  </cols>
  <sheetData>
    <row r="2" customFormat="false" ht="19.7" hidden="false" customHeight="false" outlineLevel="0" collapsed="false">
      <c r="B2" s="28" t="s">
        <v>179</v>
      </c>
    </row>
    <row r="3" customFormat="false" ht="15" hidden="false" customHeight="false" outlineLevel="0" collapsed="false">
      <c r="B3" s="60" t="s">
        <v>180</v>
      </c>
      <c r="C3" s="60"/>
      <c r="D3" s="60"/>
    </row>
    <row r="5" customFormat="false" ht="15" hidden="false" customHeight="false" outlineLevel="0" collapsed="false">
      <c r="B5" s="12" t="s">
        <v>181</v>
      </c>
      <c r="C5" s="12" t="s">
        <v>182</v>
      </c>
      <c r="D5" s="12" t="s">
        <v>183</v>
      </c>
    </row>
    <row r="6" customFormat="false" ht="75" hidden="false" customHeight="true" outlineLevel="0" collapsed="false">
      <c r="B6" s="68" t="s">
        <v>184</v>
      </c>
      <c r="C6" s="69" t="n">
        <v>0</v>
      </c>
      <c r="D6" s="70" t="s">
        <v>185</v>
      </c>
    </row>
    <row r="7" customFormat="false" ht="75" hidden="false" customHeight="true" outlineLevel="0" collapsed="false">
      <c r="B7" s="68" t="s">
        <v>186</v>
      </c>
      <c r="C7" s="69" t="n">
        <v>0</v>
      </c>
      <c r="D7" s="70" t="s">
        <v>187</v>
      </c>
    </row>
    <row r="8" customFormat="false" ht="75" hidden="false" customHeight="true" outlineLevel="0" collapsed="false">
      <c r="B8" s="68" t="s">
        <v>188</v>
      </c>
      <c r="C8" s="69" t="n">
        <v>15000</v>
      </c>
      <c r="D8" s="70" t="s">
        <v>189</v>
      </c>
    </row>
    <row r="9" customFormat="false" ht="75" hidden="false" customHeight="true" outlineLevel="0" collapsed="false">
      <c r="B9" s="68" t="s">
        <v>190</v>
      </c>
      <c r="C9" s="69" t="n">
        <v>22500</v>
      </c>
      <c r="D9" s="70" t="s">
        <v>191</v>
      </c>
    </row>
    <row r="10" customFormat="false" ht="75" hidden="false" customHeight="true" outlineLevel="0" collapsed="false">
      <c r="B10" s="68" t="s">
        <v>192</v>
      </c>
      <c r="C10" s="69" t="n">
        <v>0</v>
      </c>
      <c r="D10" s="70" t="s">
        <v>193</v>
      </c>
    </row>
    <row r="12" customFormat="false" ht="15" hidden="false" customHeight="false" outlineLevel="0" collapsed="false">
      <c r="B12" s="71" t="s">
        <v>194</v>
      </c>
      <c r="C12" s="72" t="n">
        <f aca="false">C8+C9</f>
        <v>37500</v>
      </c>
      <c r="D12" s="57"/>
    </row>
  </sheetData>
  <mergeCells count="1"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14"/>
    <col collapsed="false" customWidth="true" hidden="false" outlineLevel="0" max="6" min="6" style="0" width="40"/>
  </cols>
  <sheetData>
    <row r="2" customFormat="false" ht="19.7" hidden="false" customHeight="false" outlineLevel="0" collapsed="false">
      <c r="B2" s="28" t="s">
        <v>160</v>
      </c>
    </row>
    <row r="3" customFormat="false" ht="27.75" hidden="false" customHeight="true" outlineLevel="0" collapsed="false">
      <c r="B3" s="60" t="s">
        <v>161</v>
      </c>
      <c r="C3" s="60"/>
      <c r="D3" s="60"/>
      <c r="E3" s="60"/>
      <c r="F3" s="60"/>
    </row>
    <row r="5" customFormat="false" ht="15" hidden="false" customHeight="false" outlineLevel="0" collapsed="false">
      <c r="B5" s="54" t="s">
        <v>162</v>
      </c>
    </row>
    <row r="6" customFormat="false" ht="60" hidden="false" customHeight="true" outlineLevel="0" collapsed="false">
      <c r="B6" s="61" t="s">
        <v>163</v>
      </c>
      <c r="C6" s="61"/>
      <c r="D6" s="61"/>
      <c r="E6" s="61"/>
      <c r="F6" s="61"/>
    </row>
    <row r="9" customFormat="false" ht="15" hidden="false" customHeight="false" outlineLevel="0" collapsed="false">
      <c r="B9" s="54" t="s">
        <v>164</v>
      </c>
    </row>
    <row r="10" customFormat="false" ht="26.85" hidden="false" customHeight="false" outlineLevel="0" collapsed="false">
      <c r="B10" s="12" t="s">
        <v>165</v>
      </c>
      <c r="C10" s="12" t="s">
        <v>166</v>
      </c>
      <c r="D10" s="12" t="s">
        <v>167</v>
      </c>
      <c r="E10" s="12" t="s">
        <v>168</v>
      </c>
      <c r="F10" s="12" t="s">
        <v>169</v>
      </c>
    </row>
    <row r="11" customFormat="false" ht="30" hidden="false" customHeight="true" outlineLevel="0" collapsed="false">
      <c r="B11" s="62" t="s">
        <v>170</v>
      </c>
      <c r="C11" s="63" t="n">
        <v>28</v>
      </c>
      <c r="D11" s="64" t="n">
        <v>2080</v>
      </c>
      <c r="E11" s="48" t="n">
        <f aca="false">C11*D11</f>
        <v>58240</v>
      </c>
      <c r="F11" s="48" t="n">
        <f aca="false">E11*(1+0.23)</f>
        <v>71635.2</v>
      </c>
    </row>
    <row r="12" customFormat="false" ht="30" hidden="false" customHeight="true" outlineLevel="0" collapsed="false">
      <c r="B12" s="62" t="s">
        <v>171</v>
      </c>
      <c r="C12" s="63" t="n">
        <v>22</v>
      </c>
      <c r="D12" s="64" t="n">
        <v>1040</v>
      </c>
      <c r="E12" s="48" t="n">
        <f aca="false">C12*D12</f>
        <v>22880</v>
      </c>
      <c r="F12" s="48" t="n">
        <f aca="false">E12*(1+0.2)</f>
        <v>27456</v>
      </c>
    </row>
    <row r="13" customFormat="false" ht="30" hidden="false" customHeight="true" outlineLevel="0" collapsed="false">
      <c r="B13" s="62" t="s">
        <v>172</v>
      </c>
      <c r="C13" s="63" t="n">
        <v>26</v>
      </c>
      <c r="D13" s="64" t="n">
        <v>780</v>
      </c>
      <c r="E13" s="48" t="n">
        <f aca="false">C13*D13</f>
        <v>20280</v>
      </c>
      <c r="F13" s="48" t="n">
        <f aca="false">E13*(1+0.2)</f>
        <v>24336</v>
      </c>
    </row>
    <row r="14" customFormat="false" ht="15" hidden="false" customHeight="false" outlineLevel="0" collapsed="false">
      <c r="B14" s="65" t="s">
        <v>173</v>
      </c>
      <c r="F14" s="66" t="n">
        <f aca="false">SUM(F11:F13)</f>
        <v>123427.2</v>
      </c>
    </row>
    <row r="16" customFormat="false" ht="15" hidden="false" customHeight="false" outlineLevel="0" collapsed="false">
      <c r="B16" s="67" t="s">
        <v>174</v>
      </c>
    </row>
    <row r="17" customFormat="false" ht="19.5" hidden="false" customHeight="true" outlineLevel="0" collapsed="false">
      <c r="B17" s="55" t="s">
        <v>175</v>
      </c>
      <c r="C17" s="55"/>
      <c r="D17" s="55"/>
      <c r="E17" s="55"/>
      <c r="F17" s="55"/>
    </row>
    <row r="18" customFormat="false" ht="19.5" hidden="false" customHeight="true" outlineLevel="0" collapsed="false">
      <c r="B18" s="55" t="s">
        <v>176</v>
      </c>
      <c r="C18" s="55"/>
      <c r="D18" s="55"/>
      <c r="E18" s="55"/>
      <c r="F18" s="55"/>
    </row>
    <row r="19" customFormat="false" ht="19.5" hidden="false" customHeight="true" outlineLevel="0" collapsed="false">
      <c r="B19" s="55" t="s">
        <v>177</v>
      </c>
      <c r="C19" s="55"/>
      <c r="D19" s="55"/>
      <c r="E19" s="55"/>
      <c r="F19" s="55"/>
    </row>
    <row r="20" customFormat="false" ht="19.5" hidden="false" customHeight="true" outlineLevel="0" collapsed="false">
      <c r="B20" s="55" t="s">
        <v>178</v>
      </c>
      <c r="C20" s="55"/>
      <c r="D20" s="55"/>
      <c r="E20" s="55"/>
      <c r="F20" s="55"/>
    </row>
  </sheetData>
  <mergeCells count="6">
    <mergeCell ref="B3:F3"/>
    <mergeCell ref="B6:F6"/>
    <mergeCell ref="B17:F17"/>
    <mergeCell ref="B18:F18"/>
    <mergeCell ref="B19:F19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46"/>
    <col collapsed="false" customWidth="true" hidden="false" outlineLevel="0" max="5" min="5" style="0" width="3"/>
  </cols>
  <sheetData>
    <row r="2" customFormat="false" ht="19.7" hidden="false" customHeight="false" outlineLevel="0" collapsed="false">
      <c r="B2" s="28" t="s">
        <v>179</v>
      </c>
    </row>
    <row r="3" customFormat="false" ht="15" hidden="false" customHeight="false" outlineLevel="0" collapsed="false">
      <c r="B3" s="60" t="s">
        <v>180</v>
      </c>
      <c r="C3" s="60"/>
      <c r="D3" s="60"/>
    </row>
    <row r="5" customFormat="false" ht="15" hidden="false" customHeight="false" outlineLevel="0" collapsed="false">
      <c r="B5" s="12" t="s">
        <v>181</v>
      </c>
      <c r="C5" s="12" t="s">
        <v>182</v>
      </c>
      <c r="D5" s="12" t="s">
        <v>183</v>
      </c>
    </row>
    <row r="6" customFormat="false" ht="75" hidden="false" customHeight="true" outlineLevel="0" collapsed="false">
      <c r="B6" s="68" t="s">
        <v>184</v>
      </c>
      <c r="C6" s="69" t="n">
        <v>0</v>
      </c>
      <c r="D6" s="70" t="s">
        <v>185</v>
      </c>
    </row>
    <row r="7" customFormat="false" ht="75" hidden="false" customHeight="true" outlineLevel="0" collapsed="false">
      <c r="B7" s="68" t="s">
        <v>186</v>
      </c>
      <c r="C7" s="69" t="n">
        <v>0</v>
      </c>
      <c r="D7" s="70" t="s">
        <v>187</v>
      </c>
    </row>
    <row r="8" customFormat="false" ht="75" hidden="false" customHeight="true" outlineLevel="0" collapsed="false">
      <c r="B8" s="68" t="s">
        <v>188</v>
      </c>
      <c r="C8" s="69" t="n">
        <v>15000</v>
      </c>
      <c r="D8" s="70" t="s">
        <v>189</v>
      </c>
    </row>
    <row r="9" customFormat="false" ht="75" hidden="false" customHeight="true" outlineLevel="0" collapsed="false">
      <c r="B9" s="68" t="s">
        <v>190</v>
      </c>
      <c r="C9" s="69" t="n">
        <v>22500</v>
      </c>
      <c r="D9" s="70" t="s">
        <v>191</v>
      </c>
    </row>
    <row r="10" customFormat="false" ht="75" hidden="false" customHeight="true" outlineLevel="0" collapsed="false">
      <c r="B10" s="68" t="s">
        <v>192</v>
      </c>
      <c r="C10" s="69" t="n">
        <v>0</v>
      </c>
      <c r="D10" s="70" t="s">
        <v>193</v>
      </c>
    </row>
    <row r="12" customFormat="false" ht="15" hidden="false" customHeight="false" outlineLevel="0" collapsed="false">
      <c r="B12" s="71" t="s">
        <v>194</v>
      </c>
      <c r="C12" s="72" t="n">
        <f aca="false">C8+C9</f>
        <v>37500</v>
      </c>
      <c r="D12" s="57"/>
    </row>
  </sheetData>
  <mergeCells count="1"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14"/>
    <col collapsed="false" customWidth="true" hidden="false" outlineLevel="0" max="6" min="6" style="0" width="40"/>
  </cols>
  <sheetData>
    <row r="2" customFormat="false" ht="19.7" hidden="false" customHeight="false" outlineLevel="0" collapsed="false">
      <c r="B2" s="28" t="s">
        <v>160</v>
      </c>
    </row>
    <row r="3" customFormat="false" ht="27.75" hidden="false" customHeight="true" outlineLevel="0" collapsed="false">
      <c r="B3" s="60" t="s">
        <v>161</v>
      </c>
      <c r="C3" s="60"/>
      <c r="D3" s="60"/>
      <c r="E3" s="60"/>
      <c r="F3" s="60"/>
    </row>
    <row r="5" customFormat="false" ht="15" hidden="false" customHeight="false" outlineLevel="0" collapsed="false">
      <c r="B5" s="54" t="s">
        <v>162</v>
      </c>
    </row>
    <row r="6" customFormat="false" ht="60" hidden="false" customHeight="true" outlineLevel="0" collapsed="false">
      <c r="B6" s="61" t="s">
        <v>163</v>
      </c>
      <c r="C6" s="61"/>
      <c r="D6" s="61"/>
      <c r="E6" s="61"/>
      <c r="F6" s="61"/>
    </row>
    <row r="9" customFormat="false" ht="15" hidden="false" customHeight="false" outlineLevel="0" collapsed="false">
      <c r="B9" s="54" t="s">
        <v>164</v>
      </c>
    </row>
    <row r="10" customFormat="false" ht="26.85" hidden="false" customHeight="false" outlineLevel="0" collapsed="false">
      <c r="B10" s="12" t="s">
        <v>165</v>
      </c>
      <c r="C10" s="12" t="s">
        <v>166</v>
      </c>
      <c r="D10" s="12" t="s">
        <v>167</v>
      </c>
      <c r="E10" s="12" t="s">
        <v>168</v>
      </c>
      <c r="F10" s="12" t="s">
        <v>169</v>
      </c>
    </row>
    <row r="11" customFormat="false" ht="30" hidden="false" customHeight="true" outlineLevel="0" collapsed="false">
      <c r="B11" s="62" t="s">
        <v>170</v>
      </c>
      <c r="C11" s="63" t="n">
        <v>28</v>
      </c>
      <c r="D11" s="64" t="n">
        <v>2080</v>
      </c>
      <c r="E11" s="48" t="n">
        <f aca="false">C11*D11</f>
        <v>58240</v>
      </c>
      <c r="F11" s="48" t="n">
        <f aca="false">E11*(1+0.23)</f>
        <v>71635.2</v>
      </c>
    </row>
    <row r="12" customFormat="false" ht="30" hidden="false" customHeight="true" outlineLevel="0" collapsed="false">
      <c r="B12" s="62" t="s">
        <v>171</v>
      </c>
      <c r="C12" s="63" t="n">
        <v>22</v>
      </c>
      <c r="D12" s="64" t="n">
        <v>1040</v>
      </c>
      <c r="E12" s="48" t="n">
        <f aca="false">C12*D12</f>
        <v>22880</v>
      </c>
      <c r="F12" s="48" t="n">
        <f aca="false">E12*(1+0.2)</f>
        <v>27456</v>
      </c>
    </row>
    <row r="13" customFormat="false" ht="30" hidden="false" customHeight="true" outlineLevel="0" collapsed="false">
      <c r="B13" s="62" t="s">
        <v>172</v>
      </c>
      <c r="C13" s="63" t="n">
        <v>26</v>
      </c>
      <c r="D13" s="64" t="n">
        <v>780</v>
      </c>
      <c r="E13" s="48" t="n">
        <f aca="false">C13*D13</f>
        <v>20280</v>
      </c>
      <c r="F13" s="48" t="n">
        <f aca="false">E13*(1+0.2)</f>
        <v>24336</v>
      </c>
    </row>
    <row r="14" customFormat="false" ht="15" hidden="false" customHeight="false" outlineLevel="0" collapsed="false">
      <c r="B14" s="65" t="s">
        <v>173</v>
      </c>
      <c r="F14" s="66" t="n">
        <f aca="false">SUM(F11:F13)</f>
        <v>123427.2</v>
      </c>
    </row>
    <row r="16" customFormat="false" ht="15" hidden="false" customHeight="false" outlineLevel="0" collapsed="false">
      <c r="B16" s="67" t="s">
        <v>174</v>
      </c>
    </row>
    <row r="17" customFormat="false" ht="19.5" hidden="false" customHeight="true" outlineLevel="0" collapsed="false">
      <c r="B17" s="55" t="s">
        <v>175</v>
      </c>
      <c r="C17" s="55"/>
      <c r="D17" s="55"/>
      <c r="E17" s="55"/>
      <c r="F17" s="55"/>
    </row>
    <row r="18" customFormat="false" ht="19.5" hidden="false" customHeight="true" outlineLevel="0" collapsed="false">
      <c r="B18" s="55" t="s">
        <v>176</v>
      </c>
      <c r="C18" s="55"/>
      <c r="D18" s="55"/>
      <c r="E18" s="55"/>
      <c r="F18" s="55"/>
    </row>
    <row r="19" customFormat="false" ht="19.5" hidden="false" customHeight="true" outlineLevel="0" collapsed="false">
      <c r="B19" s="55" t="s">
        <v>177</v>
      </c>
      <c r="C19" s="55"/>
      <c r="D19" s="55"/>
      <c r="E19" s="55"/>
      <c r="F19" s="55"/>
    </row>
    <row r="20" customFormat="false" ht="19.5" hidden="false" customHeight="true" outlineLevel="0" collapsed="false">
      <c r="B20" s="55" t="s">
        <v>178</v>
      </c>
      <c r="C20" s="55"/>
      <c r="D20" s="55"/>
      <c r="E20" s="55"/>
      <c r="F20" s="55"/>
    </row>
  </sheetData>
  <mergeCells count="6">
    <mergeCell ref="B3:F3"/>
    <mergeCell ref="B6:F6"/>
    <mergeCell ref="B17:F17"/>
    <mergeCell ref="B18:F18"/>
    <mergeCell ref="B19:F19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46"/>
    <col collapsed="false" customWidth="true" hidden="false" outlineLevel="0" max="5" min="5" style="0" width="3"/>
  </cols>
  <sheetData>
    <row r="2" customFormat="false" ht="19.7" hidden="false" customHeight="false" outlineLevel="0" collapsed="false">
      <c r="B2" s="28" t="s">
        <v>179</v>
      </c>
    </row>
    <row r="3" customFormat="false" ht="15" hidden="false" customHeight="false" outlineLevel="0" collapsed="false">
      <c r="B3" s="60" t="s">
        <v>180</v>
      </c>
      <c r="C3" s="60"/>
      <c r="D3" s="60"/>
    </row>
    <row r="5" customFormat="false" ht="15" hidden="false" customHeight="false" outlineLevel="0" collapsed="false">
      <c r="B5" s="12" t="s">
        <v>181</v>
      </c>
      <c r="C5" s="12" t="s">
        <v>182</v>
      </c>
      <c r="D5" s="12" t="s">
        <v>183</v>
      </c>
    </row>
    <row r="6" customFormat="false" ht="75" hidden="false" customHeight="true" outlineLevel="0" collapsed="false">
      <c r="B6" s="68" t="s">
        <v>184</v>
      </c>
      <c r="C6" s="69" t="n">
        <v>0</v>
      </c>
      <c r="D6" s="70" t="s">
        <v>185</v>
      </c>
    </row>
    <row r="7" customFormat="false" ht="75" hidden="false" customHeight="true" outlineLevel="0" collapsed="false">
      <c r="B7" s="68" t="s">
        <v>186</v>
      </c>
      <c r="C7" s="69" t="n">
        <v>0</v>
      </c>
      <c r="D7" s="70" t="s">
        <v>187</v>
      </c>
    </row>
    <row r="8" customFormat="false" ht="75" hidden="false" customHeight="true" outlineLevel="0" collapsed="false">
      <c r="B8" s="68" t="s">
        <v>188</v>
      </c>
      <c r="C8" s="69" t="n">
        <v>15000</v>
      </c>
      <c r="D8" s="70" t="s">
        <v>189</v>
      </c>
    </row>
    <row r="9" customFormat="false" ht="75" hidden="false" customHeight="true" outlineLevel="0" collapsed="false">
      <c r="B9" s="68" t="s">
        <v>190</v>
      </c>
      <c r="C9" s="69" t="n">
        <v>22500</v>
      </c>
      <c r="D9" s="70" t="s">
        <v>191</v>
      </c>
    </row>
    <row r="10" customFormat="false" ht="75" hidden="false" customHeight="true" outlineLevel="0" collapsed="false">
      <c r="B10" s="68" t="s">
        <v>192</v>
      </c>
      <c r="C10" s="69" t="n">
        <v>0</v>
      </c>
      <c r="D10" s="70" t="s">
        <v>193</v>
      </c>
    </row>
    <row r="12" customFormat="false" ht="15" hidden="false" customHeight="false" outlineLevel="0" collapsed="false">
      <c r="B12" s="71" t="s">
        <v>194</v>
      </c>
      <c r="C12" s="72" t="n">
        <f aca="false">C8+C9</f>
        <v>37500</v>
      </c>
      <c r="D12" s="57"/>
    </row>
  </sheetData>
  <mergeCells count="1"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14"/>
    <col collapsed="false" customWidth="true" hidden="false" outlineLevel="0" max="6" min="6" style="0" width="40"/>
  </cols>
  <sheetData>
    <row r="2" customFormat="false" ht="19.7" hidden="false" customHeight="false" outlineLevel="0" collapsed="false">
      <c r="B2" s="28" t="s">
        <v>160</v>
      </c>
    </row>
    <row r="3" customFormat="false" ht="27.75" hidden="false" customHeight="true" outlineLevel="0" collapsed="false">
      <c r="B3" s="60" t="s">
        <v>161</v>
      </c>
      <c r="C3" s="60"/>
      <c r="D3" s="60"/>
      <c r="E3" s="60"/>
      <c r="F3" s="60"/>
    </row>
    <row r="5" customFormat="false" ht="15" hidden="false" customHeight="false" outlineLevel="0" collapsed="false">
      <c r="B5" s="54" t="s">
        <v>162</v>
      </c>
    </row>
    <row r="6" customFormat="false" ht="60" hidden="false" customHeight="true" outlineLevel="0" collapsed="false">
      <c r="B6" s="61" t="s">
        <v>163</v>
      </c>
      <c r="C6" s="61"/>
      <c r="D6" s="61"/>
      <c r="E6" s="61"/>
      <c r="F6" s="61"/>
    </row>
    <row r="9" customFormat="false" ht="15" hidden="false" customHeight="false" outlineLevel="0" collapsed="false">
      <c r="B9" s="54" t="s">
        <v>164</v>
      </c>
    </row>
    <row r="10" customFormat="false" ht="26.85" hidden="false" customHeight="false" outlineLevel="0" collapsed="false">
      <c r="B10" s="12" t="s">
        <v>165</v>
      </c>
      <c r="C10" s="12" t="s">
        <v>166</v>
      </c>
      <c r="D10" s="12" t="s">
        <v>167</v>
      </c>
      <c r="E10" s="12" t="s">
        <v>168</v>
      </c>
      <c r="F10" s="12" t="s">
        <v>169</v>
      </c>
    </row>
    <row r="11" customFormat="false" ht="30" hidden="false" customHeight="true" outlineLevel="0" collapsed="false">
      <c r="B11" s="62" t="s">
        <v>170</v>
      </c>
      <c r="C11" s="63" t="n">
        <v>28</v>
      </c>
      <c r="D11" s="64" t="n">
        <v>2080</v>
      </c>
      <c r="E11" s="48" t="n">
        <f aca="false">C11*D11</f>
        <v>58240</v>
      </c>
      <c r="F11" s="48" t="n">
        <f aca="false">E11*(1+0.23)</f>
        <v>71635.2</v>
      </c>
    </row>
    <row r="12" customFormat="false" ht="30" hidden="false" customHeight="true" outlineLevel="0" collapsed="false">
      <c r="B12" s="62" t="s">
        <v>171</v>
      </c>
      <c r="C12" s="63" t="n">
        <v>22</v>
      </c>
      <c r="D12" s="64" t="n">
        <v>1040</v>
      </c>
      <c r="E12" s="48" t="n">
        <f aca="false">C12*D12</f>
        <v>22880</v>
      </c>
      <c r="F12" s="48" t="n">
        <f aca="false">E12*(1+0.2)</f>
        <v>27456</v>
      </c>
    </row>
    <row r="13" customFormat="false" ht="30" hidden="false" customHeight="true" outlineLevel="0" collapsed="false">
      <c r="B13" s="62" t="s">
        <v>172</v>
      </c>
      <c r="C13" s="63" t="n">
        <v>26</v>
      </c>
      <c r="D13" s="64" t="n">
        <v>780</v>
      </c>
      <c r="E13" s="48" t="n">
        <f aca="false">C13*D13</f>
        <v>20280</v>
      </c>
      <c r="F13" s="48" t="n">
        <f aca="false">E13*(1+0.2)</f>
        <v>24336</v>
      </c>
    </row>
    <row r="14" customFormat="false" ht="15" hidden="false" customHeight="false" outlineLevel="0" collapsed="false">
      <c r="B14" s="65" t="s">
        <v>173</v>
      </c>
      <c r="F14" s="66" t="n">
        <f aca="false">SUM(F11:F13)</f>
        <v>123427.2</v>
      </c>
    </row>
    <row r="16" customFormat="false" ht="15" hidden="false" customHeight="false" outlineLevel="0" collapsed="false">
      <c r="B16" s="67" t="s">
        <v>174</v>
      </c>
    </row>
    <row r="17" customFormat="false" ht="19.5" hidden="false" customHeight="true" outlineLevel="0" collapsed="false">
      <c r="B17" s="55" t="s">
        <v>175</v>
      </c>
      <c r="C17" s="55"/>
      <c r="D17" s="55"/>
      <c r="E17" s="55"/>
      <c r="F17" s="55"/>
    </row>
    <row r="18" customFormat="false" ht="19.5" hidden="false" customHeight="true" outlineLevel="0" collapsed="false">
      <c r="B18" s="55" t="s">
        <v>176</v>
      </c>
      <c r="C18" s="55"/>
      <c r="D18" s="55"/>
      <c r="E18" s="55"/>
      <c r="F18" s="55"/>
    </row>
    <row r="19" customFormat="false" ht="19.5" hidden="false" customHeight="true" outlineLevel="0" collapsed="false">
      <c r="B19" s="55" t="s">
        <v>177</v>
      </c>
      <c r="C19" s="55"/>
      <c r="D19" s="55"/>
      <c r="E19" s="55"/>
      <c r="F19" s="55"/>
    </row>
    <row r="20" customFormat="false" ht="19.5" hidden="false" customHeight="true" outlineLevel="0" collapsed="false">
      <c r="B20" s="55" t="s">
        <v>178</v>
      </c>
      <c r="C20" s="55"/>
      <c r="D20" s="55"/>
      <c r="E20" s="55"/>
      <c r="F20" s="55"/>
    </row>
  </sheetData>
  <mergeCells count="6">
    <mergeCell ref="B3:F3"/>
    <mergeCell ref="B6:F6"/>
    <mergeCell ref="B17:F17"/>
    <mergeCell ref="B18:F18"/>
    <mergeCell ref="B19:F19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3" min="3" style="1" width="40"/>
    <col collapsed="false" customWidth="true" hidden="false" outlineLevel="0" max="4" min="4" style="1" width="46"/>
    <col collapsed="false" customWidth="true" hidden="false" outlineLevel="0" max="5" min="5" style="1" width="3"/>
  </cols>
  <sheetData>
    <row r="2" customFormat="false" ht="19.5" hidden="false" customHeight="true" outlineLevel="0" collapsed="false">
      <c r="B2" s="11" t="s">
        <v>195</v>
      </c>
    </row>
    <row r="3" customFormat="false" ht="15" hidden="false" customHeight="true" outlineLevel="0" collapsed="false">
      <c r="B3" s="73" t="s">
        <v>196</v>
      </c>
      <c r="C3" s="73"/>
      <c r="D3" s="73"/>
    </row>
    <row r="5" customFormat="false" ht="15" hidden="false" customHeight="true" outlineLevel="0" collapsed="false">
      <c r="B5" s="12" t="s">
        <v>197</v>
      </c>
      <c r="C5" s="12" t="s">
        <v>198</v>
      </c>
      <c r="D5" s="12" t="s">
        <v>199</v>
      </c>
    </row>
    <row r="6" customFormat="false" ht="99.75" hidden="false" customHeight="true" outlineLevel="0" collapsed="false">
      <c r="B6" s="74" t="s">
        <v>200</v>
      </c>
      <c r="C6" s="70" t="s">
        <v>201</v>
      </c>
      <c r="D6" s="70" t="s">
        <v>202</v>
      </c>
    </row>
    <row r="7" customFormat="false" ht="99.75" hidden="false" customHeight="true" outlineLevel="0" collapsed="false">
      <c r="B7" s="74" t="s">
        <v>203</v>
      </c>
      <c r="C7" s="70" t="s">
        <v>204</v>
      </c>
      <c r="D7" s="70" t="s">
        <v>205</v>
      </c>
    </row>
    <row r="8" customFormat="false" ht="99.75" hidden="false" customHeight="true" outlineLevel="0" collapsed="false">
      <c r="B8" s="74" t="s">
        <v>206</v>
      </c>
      <c r="C8" s="70" t="s">
        <v>207</v>
      </c>
      <c r="D8" s="70" t="s">
        <v>208</v>
      </c>
    </row>
    <row r="9" customFormat="false" ht="99.75" hidden="false" customHeight="true" outlineLevel="0" collapsed="false">
      <c r="B9" s="74" t="s">
        <v>209</v>
      </c>
      <c r="C9" s="70" t="s">
        <v>210</v>
      </c>
      <c r="D9" s="70" t="s">
        <v>211</v>
      </c>
    </row>
  </sheetData>
  <mergeCells count="1"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0"/>
    <col collapsed="false" customWidth="true" hidden="false" outlineLevel="0" max="3" min="3" style="1" width="60"/>
    <col collapsed="false" customWidth="true" hidden="false" outlineLevel="0" max="4" min="4" style="1" width="3"/>
  </cols>
  <sheetData>
    <row r="2" customFormat="false" ht="19.5" hidden="false" customHeight="true" outlineLevel="0" collapsed="false">
      <c r="B2" s="11" t="s">
        <v>212</v>
      </c>
    </row>
    <row r="4" customFormat="false" ht="15" hidden="false" customHeight="true" outlineLevel="0" collapsed="false">
      <c r="B4" s="12" t="s">
        <v>213</v>
      </c>
      <c r="C4" s="12" t="s">
        <v>214</v>
      </c>
    </row>
    <row r="5" customFormat="false" ht="60" hidden="false" customHeight="true" outlineLevel="0" collapsed="false">
      <c r="B5" s="74" t="s">
        <v>215</v>
      </c>
      <c r="C5" s="70" t="s">
        <v>216</v>
      </c>
    </row>
    <row r="6" customFormat="false" ht="60" hidden="false" customHeight="true" outlineLevel="0" collapsed="false">
      <c r="B6" s="74" t="s">
        <v>217</v>
      </c>
      <c r="C6" s="70" t="s">
        <v>218</v>
      </c>
    </row>
    <row r="7" customFormat="false" ht="60" hidden="false" customHeight="true" outlineLevel="0" collapsed="false">
      <c r="B7" s="74" t="s">
        <v>219</v>
      </c>
      <c r="C7" s="70" t="s">
        <v>220</v>
      </c>
    </row>
    <row r="8" customFormat="false" ht="60" hidden="false" customHeight="true" outlineLevel="0" collapsed="false">
      <c r="B8" s="74" t="s">
        <v>221</v>
      </c>
      <c r="C8" s="70" t="s">
        <v>222</v>
      </c>
    </row>
    <row r="9" customFormat="false" ht="60" hidden="false" customHeight="true" outlineLevel="0" collapsed="false">
      <c r="B9" s="74" t="s">
        <v>223</v>
      </c>
      <c r="C9" s="70" t="s">
        <v>224</v>
      </c>
    </row>
    <row r="10" customFormat="false" ht="60" hidden="false" customHeight="true" outlineLevel="0" collapsed="false">
      <c r="B10" s="74" t="s">
        <v>225</v>
      </c>
      <c r="C10" s="70" t="s">
        <v>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3" min="2" style="1" width="28"/>
    <col collapsed="false" customWidth="true" hidden="false" outlineLevel="0" max="4" min="4" style="1" width="40"/>
    <col collapsed="false" customWidth="true" hidden="false" outlineLevel="0" max="5" min="5" style="1" width="3"/>
  </cols>
  <sheetData>
    <row r="2" customFormat="false" ht="19.5" hidden="false" customHeight="true" outlineLevel="0" collapsed="false">
      <c r="B2" s="11" t="s">
        <v>227</v>
      </c>
    </row>
    <row r="4" customFormat="false" ht="15" hidden="false" customHeight="true" outlineLevel="0" collapsed="false">
      <c r="B4" s="12" t="s">
        <v>228</v>
      </c>
      <c r="C4" s="12" t="s">
        <v>229</v>
      </c>
      <c r="D4" s="12" t="s">
        <v>230</v>
      </c>
    </row>
    <row r="5" customFormat="false" ht="45" hidden="false" customHeight="true" outlineLevel="0" collapsed="false">
      <c r="B5" s="68" t="s">
        <v>231</v>
      </c>
      <c r="C5" s="70" t="s">
        <v>232</v>
      </c>
      <c r="D5" s="16" t="s">
        <v>233</v>
      </c>
    </row>
    <row r="6" customFormat="false" ht="45" hidden="false" customHeight="true" outlineLevel="0" collapsed="false">
      <c r="B6" s="68" t="s">
        <v>234</v>
      </c>
      <c r="C6" s="70" t="s">
        <v>235</v>
      </c>
      <c r="D6" s="16" t="s">
        <v>236</v>
      </c>
    </row>
    <row r="7" customFormat="false" ht="45" hidden="false" customHeight="true" outlineLevel="0" collapsed="false">
      <c r="B7" s="68" t="s">
        <v>237</v>
      </c>
      <c r="C7" s="70" t="s">
        <v>238</v>
      </c>
      <c r="D7" s="16" t="s">
        <v>239</v>
      </c>
    </row>
    <row r="8" customFormat="false" ht="45" hidden="false" customHeight="true" outlineLevel="0" collapsed="false">
      <c r="B8" s="68" t="s">
        <v>240</v>
      </c>
      <c r="C8" s="70" t="s">
        <v>241</v>
      </c>
      <c r="D8" s="16" t="s">
        <v>242</v>
      </c>
    </row>
    <row r="9" customFormat="false" ht="45" hidden="false" customHeight="true" outlineLevel="0" collapsed="false">
      <c r="B9" s="68" t="s">
        <v>243</v>
      </c>
      <c r="C9" s="70" t="s">
        <v>244</v>
      </c>
      <c r="D9" s="16" t="s">
        <v>245</v>
      </c>
    </row>
    <row r="10" customFormat="false" ht="45" hidden="false" customHeight="true" outlineLevel="0" collapsed="false">
      <c r="B10" s="68" t="s">
        <v>246</v>
      </c>
      <c r="C10" s="70" t="s">
        <v>247</v>
      </c>
      <c r="D10" s="16" t="s">
        <v>248</v>
      </c>
    </row>
    <row r="11" customFormat="false" ht="45" hidden="false" customHeight="true" outlineLevel="0" collapsed="false">
      <c r="B11" s="68" t="s">
        <v>249</v>
      </c>
      <c r="C11" s="70" t="s">
        <v>250</v>
      </c>
      <c r="D11" s="16" t="s">
        <v>251</v>
      </c>
    </row>
    <row r="12" customFormat="false" ht="45" hidden="false" customHeight="true" outlineLevel="0" collapsed="false">
      <c r="B12" s="68" t="s">
        <v>252</v>
      </c>
      <c r="C12" s="70" t="s">
        <v>253</v>
      </c>
      <c r="D12" s="16" t="s">
        <v>251</v>
      </c>
    </row>
    <row r="13" customFormat="false" ht="45" hidden="false" customHeight="true" outlineLevel="0" collapsed="false">
      <c r="B13" s="68" t="s">
        <v>254</v>
      </c>
      <c r="C13" s="70" t="s">
        <v>255</v>
      </c>
      <c r="D13" s="16" t="s">
        <v>256</v>
      </c>
    </row>
    <row r="14" customFormat="false" ht="45" hidden="false" customHeight="true" outlineLevel="0" collapsed="false">
      <c r="B14" s="68" t="s">
        <v>257</v>
      </c>
      <c r="C14" s="70" t="s">
        <v>258</v>
      </c>
      <c r="D14" s="16" t="s">
        <v>259</v>
      </c>
    </row>
    <row r="15" customFormat="false" ht="45" hidden="false" customHeight="true" outlineLevel="0" collapsed="false">
      <c r="B15" s="68" t="s">
        <v>260</v>
      </c>
      <c r="C15" s="70" t="s">
        <v>261</v>
      </c>
      <c r="D15" s="16" t="s">
        <v>262</v>
      </c>
    </row>
    <row r="16" customFormat="false" ht="45" hidden="false" customHeight="true" outlineLevel="0" collapsed="false">
      <c r="B16" s="68" t="s">
        <v>263</v>
      </c>
      <c r="C16" s="70" t="s">
        <v>264</v>
      </c>
      <c r="D16" s="16" t="s">
        <v>265</v>
      </c>
    </row>
    <row r="18" customFormat="false" ht="15" hidden="false" customHeight="true" outlineLevel="0" collapsed="false">
      <c r="B18" s="46" t="s">
        <v>266</v>
      </c>
      <c r="C18" s="46"/>
      <c r="D18" s="46"/>
    </row>
    <row r="19" customFormat="false" ht="15" hidden="false" customHeight="true" outlineLevel="0" collapsed="false">
      <c r="B19" s="46"/>
      <c r="C19" s="46"/>
      <c r="D19" s="46"/>
    </row>
  </sheetData>
  <mergeCells count="1">
    <mergeCell ref="B18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3"/>
  </cols>
  <sheetData>
    <row r="2" customFormat="false" ht="19.5" hidden="false" customHeight="true" outlineLevel="0" collapsed="false">
      <c r="B2" s="11" t="s">
        <v>267</v>
      </c>
    </row>
    <row r="4" customFormat="false" ht="15" hidden="false" customHeight="true" outlineLevel="0" collapsed="false">
      <c r="B4" s="5" t="s">
        <v>268</v>
      </c>
    </row>
    <row r="5" customFormat="false" ht="15" hidden="false" customHeight="true" outlineLevel="0" collapsed="false">
      <c r="B5" s="12" t="s">
        <v>22</v>
      </c>
      <c r="C5" s="12" t="s">
        <v>269</v>
      </c>
    </row>
    <row r="6" customFormat="false" ht="15" hidden="false" customHeight="true" outlineLevel="0" collapsed="false">
      <c r="B6" s="75" t="str">
        <f aca="false">'Seed Ask'!B5</f>
        <v>Property acquisition (actual list price)</v>
      </c>
      <c r="C6" s="76" t="n">
        <f aca="false">'Seed Ask'!C5</f>
        <v>429000</v>
      </c>
    </row>
    <row r="7" customFormat="false" ht="15" hidden="false" customHeight="true" outlineLevel="0" collapsed="false">
      <c r="B7" s="75" t="str">
        <f aca="false">'Seed Ask'!B6</f>
        <v>Acquisition / legal / due diligence / closing</v>
      </c>
      <c r="C7" s="76" t="n">
        <f aca="false">'Seed Ask'!C6</f>
        <v>25000</v>
      </c>
    </row>
    <row r="8" customFormat="false" ht="15" hidden="false" customHeight="true" outlineLevel="0" collapsed="false">
      <c r="B8" s="75" t="str">
        <f aca="false">'Seed Ask'!B7</f>
        <v>Full interior renovation</v>
      </c>
      <c r="C8" s="76" t="n">
        <f aca="false">'Seed Ask'!C7</f>
        <v>525000</v>
      </c>
    </row>
    <row r="9" customFormat="false" ht="15" hidden="false" customHeight="true" outlineLevel="0" collapsed="false">
      <c r="B9" s="75" t="str">
        <f aca="false">'Seed Ask'!B8</f>
        <v>Electrical / plumbing / HVAC / fire / life safety</v>
      </c>
      <c r="C9" s="76" t="n">
        <f aca="false">'Seed Ask'!C8</f>
        <v>150000</v>
      </c>
    </row>
    <row r="10" customFormat="false" ht="15" hidden="false" customHeight="true" outlineLevel="0" collapsed="false">
      <c r="B10" s="75" t="str">
        <f aca="false">'Seed Ask'!B9</f>
        <v>Architectural greenhouse, 4,000-5,000 SF</v>
      </c>
      <c r="C10" s="76" t="n">
        <f aca="false">'Seed Ask'!C9</f>
        <v>325000</v>
      </c>
    </row>
    <row r="11" customFormat="false" ht="15" hidden="false" customHeight="true" outlineLevel="0" collapsed="false">
      <c r="B11" s="75" t="str">
        <f aca="false">'Seed Ask'!B10</f>
        <v>Site work / drainage / irrigation / water / landscape</v>
      </c>
      <c r="C11" s="76" t="n">
        <f aca="false">'Seed Ask'!C10</f>
        <v>100000</v>
      </c>
    </row>
    <row r="12" customFormat="false" ht="15" hidden="false" customHeight="true" outlineLevel="0" collapsed="false">
      <c r="B12" s="75" t="str">
        <f aca="false">'Seed Ask'!B11</f>
        <v>Solar, ~30 kW</v>
      </c>
      <c r="C12" s="76" t="n">
        <f aca="false">'Seed Ask'!C11</f>
        <v>75000</v>
      </c>
    </row>
    <row r="13" customFormat="false" ht="15" hidden="false" customHeight="true" outlineLevel="0" collapsed="false">
      <c r="B13" s="75" t="str">
        <f aca="false">'Seed Ask'!B12</f>
        <v>Battery, ~100 kWh</v>
      </c>
      <c r="C13" s="76" t="n">
        <f aca="false">'Seed Ask'!C12</f>
        <v>110000</v>
      </c>
    </row>
    <row r="14" customFormat="false" ht="15" hidden="false" customHeight="true" outlineLevel="0" collapsed="false">
      <c r="B14" s="75" t="str">
        <f aca="false">'Seed Ask'!B13</f>
        <v>HEX6-BLE edge server + rack + networking + UPS</v>
      </c>
      <c r="C14" s="76" t="n">
        <f aca="false">'Seed Ask'!C13</f>
        <v>35000</v>
      </c>
    </row>
    <row r="15" customFormat="false" ht="15" hidden="false" customHeight="true" outlineLevel="0" collapsed="false">
      <c r="B15" s="75" t="str">
        <f aca="false">'Seed Ask'!B14</f>
        <v>Sensor network / environmental instrumentation</v>
      </c>
      <c r="C15" s="76" t="n">
        <f aca="false">'Seed Ask'!C14</f>
        <v>25000</v>
      </c>
    </row>
    <row r="16" customFormat="false" ht="15" hidden="false" customHeight="true" outlineLevel="0" collapsed="false">
      <c r="B16" s="75" t="str">
        <f aca="false">'Seed Ask'!B15</f>
        <v>Custom Mycochip R&amp;D + prototypes</v>
      </c>
      <c r="C16" s="76" t="n">
        <f aca="false">'Seed Ask'!C15</f>
        <v>40000</v>
      </c>
    </row>
    <row r="17" customFormat="false" ht="15" hidden="false" customHeight="true" outlineLevel="0" collapsed="false">
      <c r="B17" s="75" t="str">
        <f aca="false">'Seed Ask'!B16</f>
        <v>Signal / data / blockchain software integration</v>
      </c>
      <c r="C17" s="76" t="n">
        <f aca="false">'Seed Ask'!C16</f>
        <v>50000</v>
      </c>
    </row>
    <row r="18" customFormat="false" ht="15" hidden="false" customHeight="true" outlineLevel="0" collapsed="false">
      <c r="B18" s="75" t="str">
        <f aca="false">'Seed Ask'!B17</f>
        <v>Architecture / structural / MEP / agricultural engineering</v>
      </c>
      <c r="C18" s="76" t="n">
        <f aca="false">'Seed Ask'!C17</f>
        <v>100000</v>
      </c>
    </row>
    <row r="19" customFormat="false" ht="15" hidden="false" customHeight="true" outlineLevel="0" collapsed="false">
      <c r="B19" s="75" t="str">
        <f aca="false">'Seed Ask'!B18</f>
        <v>Permits / planning / testing / professional fees</v>
      </c>
      <c r="C19" s="76" t="n">
        <f aca="false">'Seed Ask'!C18</f>
        <v>50000</v>
      </c>
    </row>
    <row r="20" customFormat="false" ht="15" hidden="false" customHeight="true" outlineLevel="0" collapsed="false">
      <c r="B20" s="75" t="str">
        <f aca="false">'Seed Ask'!B19</f>
        <v>Pre-opening / commissioning / working capital</v>
      </c>
      <c r="C20" s="76" t="n">
        <f aca="false">'Seed Ask'!C19</f>
        <v>100000</v>
      </c>
    </row>
    <row r="21" customFormat="false" ht="15" hidden="false" customHeight="true" outlineLevel="0" collapsed="false">
      <c r="B21" s="75" t="str">
        <f aca="false">'Seed Ask'!B20</f>
        <v>Contingency</v>
      </c>
      <c r="C21" s="76" t="n">
        <f aca="false">'Seed Ask'!C20</f>
        <v>250000</v>
      </c>
    </row>
    <row r="24" customFormat="false" ht="15" hidden="false" customHeight="true" outlineLevel="0" collapsed="false">
      <c r="B24" s="5" t="s">
        <v>270</v>
      </c>
    </row>
    <row r="25" customFormat="false" ht="26.25" hidden="false" customHeight="true" outlineLevel="0" collapsed="false">
      <c r="B25" s="12" t="s">
        <v>95</v>
      </c>
      <c r="C25" s="12" t="s">
        <v>97</v>
      </c>
    </row>
    <row r="26" customFormat="false" ht="15" hidden="false" customHeight="true" outlineLevel="0" collapsed="false">
      <c r="B26" s="75" t="n">
        <f aca="false">'Revenue Model'!B10</f>
        <v>100</v>
      </c>
      <c r="C26" s="76" t="n">
        <f aca="false">'Revenue Model'!D10</f>
        <v>23988</v>
      </c>
    </row>
    <row r="27" customFormat="false" ht="15" hidden="false" customHeight="true" outlineLevel="0" collapsed="false">
      <c r="B27" s="75" t="n">
        <f aca="false">'Revenue Model'!B11</f>
        <v>1000</v>
      </c>
      <c r="C27" s="76" t="n">
        <f aca="false">'Revenue Model'!D11</f>
        <v>239880</v>
      </c>
    </row>
    <row r="28" customFormat="false" ht="15" hidden="false" customHeight="true" outlineLevel="0" collapsed="false">
      <c r="B28" s="75" t="n">
        <f aca="false">'Revenue Model'!B12</f>
        <v>5000</v>
      </c>
      <c r="C28" s="76" t="n">
        <f aca="false">'Revenue Model'!D12</f>
        <v>1199400</v>
      </c>
    </row>
    <row r="29" customFormat="false" ht="15" hidden="false" customHeight="true" outlineLevel="0" collapsed="false">
      <c r="B29" s="75" t="n">
        <f aca="false">'Revenue Model'!B13</f>
        <v>10000</v>
      </c>
      <c r="C29" s="76" t="n">
        <f aca="false">'Revenue Model'!D13</f>
        <v>2398800</v>
      </c>
    </row>
    <row r="30" customFormat="false" ht="15" hidden="false" customHeight="true" outlineLevel="0" collapsed="false">
      <c r="B30" s="75" t="n">
        <f aca="false">'Revenue Model'!B14</f>
        <v>25000</v>
      </c>
      <c r="C30" s="76" t="n">
        <f aca="false">'Revenue Model'!D14</f>
        <v>5997000</v>
      </c>
    </row>
    <row r="31" customFormat="false" ht="15" hidden="false" customHeight="true" outlineLevel="0" collapsed="false">
      <c r="B31" s="75" t="n">
        <f aca="false">'Revenue Model'!B15</f>
        <v>50000</v>
      </c>
      <c r="C31" s="76" t="n">
        <f aca="false">'Revenue Model'!D15</f>
        <v>11994000</v>
      </c>
    </row>
    <row r="34" customFormat="false" ht="15" hidden="false" customHeight="true" outlineLevel="0" collapsed="false">
      <c r="B34" s="5" t="s">
        <v>271</v>
      </c>
    </row>
    <row r="35" customFormat="false" ht="15" hidden="false" customHeight="true" outlineLevel="0" collapsed="false">
      <c r="B35" s="12" t="s">
        <v>145</v>
      </c>
      <c r="C35" s="12" t="s">
        <v>105</v>
      </c>
    </row>
    <row r="36" customFormat="false" ht="15" hidden="false" customHeight="true" outlineLevel="0" collapsed="false">
      <c r="B36" s="75" t="s">
        <v>272</v>
      </c>
      <c r="C36" s="76" t="n">
        <f aca="false">'Revenue Model'!C48</f>
        <v>2398800</v>
      </c>
    </row>
    <row r="37" customFormat="false" ht="15" hidden="false" customHeight="true" outlineLevel="0" collapsed="false">
      <c r="B37" s="75" t="s">
        <v>273</v>
      </c>
      <c r="C37" s="76" t="n">
        <f aca="false">'Revenue Model'!C49</f>
        <v>285880</v>
      </c>
    </row>
    <row r="38" customFormat="false" ht="15" hidden="false" customHeight="true" outlineLevel="0" collapsed="false">
      <c r="B38" s="75" t="s">
        <v>274</v>
      </c>
      <c r="C38" s="76" t="n">
        <f aca="false">'Revenue Model'!C50</f>
        <v>1750000</v>
      </c>
    </row>
    <row r="39" customFormat="false" ht="15" hidden="false" customHeight="true" outlineLevel="0" collapsed="false">
      <c r="B39" s="75" t="s">
        <v>155</v>
      </c>
      <c r="C39" s="76" t="n">
        <f aca="false">'Revenue Model'!C51</f>
        <v>139400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2026-09-15T21:22:27Z</dcterms:created>
  <dc:creator>openpyxl</dc:creator>
  <dc:description/>
  <dc:language>en-US</dc:language>
  <cp:lastModifiedBy/>
  <dcterms:modified xsi:type="dcterms:W3CDTF">2026-09-15T21:32:01Z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