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943408a3f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64f8af2521a4434"/>
    <x:sheet xmlns:r="http://schemas.openxmlformats.org/officeDocument/2006/relationships" name="Universal Intake" sheetId="2" r:id="Reef4bb0c28c9402f"/>
    <x:sheet xmlns:r="http://schemas.openxmlformats.org/officeDocument/2006/relationships" name="Subject-To" sheetId="3" r:id="R81ac46eb430d48d7"/>
    <x:sheet xmlns:r="http://schemas.openxmlformats.org/officeDocument/2006/relationships" name="Seller Finance" sheetId="4" r:id="Rb777a7f7eb7042ef"/>
    <x:sheet xmlns:r="http://schemas.openxmlformats.org/officeDocument/2006/relationships" name="Wraparound" sheetId="5" r:id="R434bfa6b25564e9c"/>
    <x:sheet xmlns:r="http://schemas.openxmlformats.org/officeDocument/2006/relationships" name="Hybrid Terms" sheetId="6" r:id="R97671c9fda7c41ed"/>
    <x:sheet xmlns:r="http://schemas.openxmlformats.org/officeDocument/2006/relationships" name="Lease Option" sheetId="7" r:id="R9da1cdb0bdbe4a6d"/>
    <x:sheet xmlns:r="http://schemas.openxmlformats.org/officeDocument/2006/relationships" name="Sandwich Lease" sheetId="8" r:id="Rf8f943ecfd5c4a86"/>
    <x:sheet xmlns:r="http://schemas.openxmlformats.org/officeDocument/2006/relationships" name="Master Lease" sheetId="9" r:id="R6c4330abc6944905"/>
    <x:sheet xmlns:r="http://schemas.openxmlformats.org/officeDocument/2006/relationships" name="Novation" sheetId="10" r:id="R764ca64d1b7445ca"/>
    <x:sheet xmlns:r="http://schemas.openxmlformats.org/officeDocument/2006/relationships" name="Wholesale Assignment" sheetId="11" r:id="Radd9fe598f1c4774"/>
    <x:sheet xmlns:r="http://schemas.openxmlformats.org/officeDocument/2006/relationships" name="Double Close" sheetId="12" r:id="Rae6e486b604542c5"/>
    <x:sheet xmlns:r="http://schemas.openxmlformats.org/officeDocument/2006/relationships" name="Wholetail" sheetId="13" r:id="R362b7568fc934168"/>
    <x:sheet xmlns:r="http://schemas.openxmlformats.org/officeDocument/2006/relationships" name="Fix and Flip" sheetId="14" r:id="Rbeff393fb2164f7e"/>
    <x:sheet xmlns:r="http://schemas.openxmlformats.org/officeDocument/2006/relationships" name="BRRRR Rental" sheetId="15" r:id="R66bd878389404b2e"/>
    <x:sheet xmlns:r="http://schemas.openxmlformats.org/officeDocument/2006/relationships" name="Long Term Rental" sheetId="16" r:id="Rbafa0e21aaa647d4"/>
    <x:sheet xmlns:r="http://schemas.openxmlformats.org/officeDocument/2006/relationships" name="DSCR Rental" sheetId="17" r:id="R71a59c5d4fe84b7c"/>
    <x:sheet xmlns:r="http://schemas.openxmlformats.org/officeDocument/2006/relationships" name="STR MTR" sheetId="18" r:id="Rd91db59a0e4e4ead"/>
    <x:sheet xmlns:r="http://schemas.openxmlformats.org/officeDocument/2006/relationships" name="CoLiving" sheetId="19" r:id="Rb8e2a22ee4904e63"/>
    <x:sheet xmlns:r="http://schemas.openxmlformats.org/officeDocument/2006/relationships" name="House Hack" sheetId="20" r:id="R1b4104d4aff945c5"/>
    <x:sheet xmlns:r="http://schemas.openxmlformats.org/officeDocument/2006/relationships" name="Gator EMD" sheetId="21" r:id="R30673ee829b0493f"/>
    <x:sheet xmlns:r="http://schemas.openxmlformats.org/officeDocument/2006/relationships" name="Transactional Funding" sheetId="22" r:id="Rddbbd148d7d542a7"/>
    <x:sheet xmlns:r="http://schemas.openxmlformats.org/officeDocument/2006/relationships" name="Private Money JV" sheetId="23" r:id="R20df9d4852a940ee"/>
    <x:sheet xmlns:r="http://schemas.openxmlformats.org/officeDocument/2006/relationships" name="Hard Money" sheetId="24" r:id="R141c5fb4e7bd416d"/>
    <x:sheet xmlns:r="http://schemas.openxmlformats.org/officeDocument/2006/relationships" name="Gap Funding" sheetId="25" r:id="R9489162b7dc34724"/>
    <x:sheet xmlns:r="http://schemas.openxmlformats.org/officeDocument/2006/relationships" name="Assumable Mortgage" sheetId="26" r:id="R824a3b12d7174e52"/>
    <x:sheet xmlns:r="http://schemas.openxmlformats.org/officeDocument/2006/relationships" name="Owner Carry Second" sheetId="27" r:id="Rdf2459ee5d974204"/>
    <x:sheet xmlns:r="http://schemas.openxmlformats.org/officeDocument/2006/relationships" name="Land Contract" sheetId="28" r:id="R3108bb778f3e4da0"/>
    <x:sheet xmlns:r="http://schemas.openxmlformats.org/officeDocument/2006/relationships" name="Equity Share" sheetId="29" r:id="R86998095a2d44d4e"/>
    <x:sheet xmlns:r="http://schemas.openxmlformats.org/officeDocument/2006/relationships" name="Land Deals" sheetId="30" r:id="R587d6eb32093432e"/>
    <x:sheet xmlns:r="http://schemas.openxmlformats.org/officeDocument/2006/relationships" name="Mobile Home Parks" sheetId="31" r:id="Rbc7d1714f9e843d8"/>
    <x:sheet xmlns:r="http://schemas.openxmlformats.org/officeDocument/2006/relationships" name="Multifamily T12" sheetId="32" r:id="R73f271fbc9b34677"/>
    <x:sheet xmlns:r="http://schemas.openxmlformats.org/officeDocument/2006/relationships" name="MF Pro Forma" sheetId="33" r:id="Rb95ba3e6fe02474a"/>
    <x:sheet xmlns:r="http://schemas.openxmlformats.org/officeDocument/2006/relationships" name="Commercial Lease" sheetId="34" r:id="R55f9638f9d6242e0"/>
    <x:sheet xmlns:r="http://schemas.openxmlformats.org/officeDocument/2006/relationships" name="PreForeclosure" sheetId="35" r:id="Rd65d286eba0f4fb4"/>
    <x:sheet xmlns:r="http://schemas.openxmlformats.org/officeDocument/2006/relationships" name="Probate Estate" sheetId="36" r:id="R6dd41e916f0944bc"/>
    <x:sheet xmlns:r="http://schemas.openxmlformats.org/officeDocument/2006/relationships" name="Deal Stack" sheetId="37" r:id="Re67096a3dbe54486"/>
    <x:sheet xmlns:r="http://schemas.openxmlformats.org/officeDocument/2006/relationships" name="Exit Matrix" sheetId="38" r:id="R5a323778ac6845b5"/>
    <x:sheet xmlns:r="http://schemas.openxmlformats.org/officeDocument/2006/relationships" name="Sources Compliance" sheetId="39" r:id="R8a1db323e6844d2b"/>
    <x:sheet xmlns:r="http://schemas.openxmlformats.org/officeDocument/2006/relationships" name="Strategy Selector" sheetId="40" r:id="Rb719e9bf036445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-$#,##0.00;0"/>
    <x:numFmt numFmtId="201" formatCode="$#,##0.00;[Red]-$#,##0.00;0.00%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92400E"/>
      <x:name val="Carlito"/>
    </x:font>
    <x:font>
      <x:b/>
      <x:sz val="11"/>
      <x:color rgb="FFFFFFFF"/>
      <x:name val="Carlito"/>
    </x:font>
    <x:font>
      <x:i/>
      <x:sz val="11"/>
      <x:color rgb="FF111827"/>
      <x:name val="Carlito"/>
    </x:font>
    <x:font>
      <x:b/>
      <x:sz val="11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EF3C7"/>
      </x:patternFill>
    </x:fill>
    <x:fill>
      <x:patternFill patternType="solid">
        <x:fgColor rgb="FFB8860B"/>
      </x:patternFill>
    </x:fill>
    <x:fill>
      <x:patternFill patternType="solid">
        <x:fgColor rgb="FFF3F4F6"/>
      </x:patternFill>
    </x:fill>
    <x:fill>
      <x:patternFill patternType="solid">
        <x:fgColor rgb="FFDBEAFE"/>
      </x:patternFill>
    </x:fill>
    <x:fill>
      <x:patternFill patternType="solid">
        <x:fgColor rgb="FFEFF6FF"/>
      </x:patternFill>
    </x:fill>
    <x:fill>
      <x:patternFill patternType="solid">
        <x:fgColor rgb="FFDCFCE7"/>
      </x:patternFill>
    </x:fill>
    <x:fill>
      <x:patternFill patternType="solid">
        <x:fgColor rgb="FFF0FDF4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0" fillId="7" borderId="0" xfId="0" applyNumberFormat="1" applyFont="1" applyFill="1" applyBorder="1"/>
    <x:xf numFmtId="200" fontId="0" fillId="0" borderId="0" xfId="0" applyNumberFormat="1" applyFont="1" applyFill="1" applyBorder="1"/>
    <x:xf numFmtId="200" fontId="0" fillId="7" borderId="1" xfId="0" applyNumberFormat="1" applyFont="1" applyFill="1" applyBorder="1"/>
    <x:xf numFmtId="200" fontId="0" fillId="0" borderId="1" xfId="0" applyNumberFormat="1" applyFont="1" applyFill="1" applyBorder="1"/>
    <x:xf numFmtId="201" fontId="0" fillId="9" borderId="0" xfId="0" applyNumberFormat="1" applyFont="1" applyFill="1" applyBorder="1"/>
    <x:xf numFmtId="201" fontId="0" fillId="0" borderId="0" xfId="0" applyNumberFormat="1" applyFont="1" applyFill="1" applyBorder="1"/>
    <x:xf numFmtId="201" fontId="0" fillId="9" borderId="1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200" fontId="0" fillId="10" borderId="0" xfId="0" applyNumberFormat="1" applyFont="1" applyFill="1" applyBorder="1"/>
    <x:xf numFmtId="0" fontId="0" fillId="10" borderId="0" xfId="0" applyNumberFormat="1" applyFont="1" applyFill="1" applyBorder="1"/>
    <x:xf numFmtId="200" fontId="0" fillId="10" borderId="1" xfId="0" applyNumberFormat="1" applyFont="1" applyFill="1" applyBorder="1"/>
    <x:xf numFmtId="0" fontId="0" fillId="1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0f1f577094383" /><Relationship Type="http://schemas.openxmlformats.org/officeDocument/2006/relationships/theme" Target="/xl/theme/theme1.xml" Id="R158cde472a674adc" /><Relationship Type="http://schemas.openxmlformats.org/officeDocument/2006/relationships/sharedStrings" Target="/xl/sharedStrings.xml" Id="Rc5b918672e5f4054" /><Relationship Type="http://schemas.openxmlformats.org/officeDocument/2006/relationships/worksheet" Target="/xl/worksheets/sheet1.xml" Id="R064f8af2521a4434" /><Relationship Type="http://schemas.openxmlformats.org/officeDocument/2006/relationships/worksheet" Target="/xl/worksheets/sheet2.xml" Id="Reef4bb0c28c9402f" /><Relationship Type="http://schemas.openxmlformats.org/officeDocument/2006/relationships/worksheet" Target="/xl/worksheets/sheet3.xml" Id="R81ac46eb430d48d7" /><Relationship Type="http://schemas.openxmlformats.org/officeDocument/2006/relationships/worksheet" Target="/xl/worksheets/sheet4.xml" Id="Rb777a7f7eb7042ef" /><Relationship Type="http://schemas.openxmlformats.org/officeDocument/2006/relationships/worksheet" Target="/xl/worksheets/sheet5.xml" Id="R434bfa6b25564e9c" /><Relationship Type="http://schemas.openxmlformats.org/officeDocument/2006/relationships/worksheet" Target="/xl/worksheets/sheet6.xml" Id="R97671c9fda7c41ed" /><Relationship Type="http://schemas.openxmlformats.org/officeDocument/2006/relationships/worksheet" Target="/xl/worksheets/sheet7.xml" Id="R9da1cdb0bdbe4a6d" /><Relationship Type="http://schemas.openxmlformats.org/officeDocument/2006/relationships/worksheet" Target="/xl/worksheets/sheet8.xml" Id="Rf8f943ecfd5c4a86" /><Relationship Type="http://schemas.openxmlformats.org/officeDocument/2006/relationships/worksheet" Target="/xl/worksheets/sheet9.xml" Id="R6c4330abc6944905" /><Relationship Type="http://schemas.openxmlformats.org/officeDocument/2006/relationships/worksheet" Target="/xl/worksheets/sheet10.xml" Id="R764ca64d1b7445ca" /><Relationship Type="http://schemas.openxmlformats.org/officeDocument/2006/relationships/worksheet" Target="/xl/worksheets/sheet11.xml" Id="Radd9fe598f1c4774" /><Relationship Type="http://schemas.openxmlformats.org/officeDocument/2006/relationships/worksheet" Target="/xl/worksheets/sheet12.xml" Id="Rae6e486b604542c5" /><Relationship Type="http://schemas.openxmlformats.org/officeDocument/2006/relationships/worksheet" Target="/xl/worksheets/sheet13.xml" Id="R362b7568fc934168" /><Relationship Type="http://schemas.openxmlformats.org/officeDocument/2006/relationships/worksheet" Target="/xl/worksheets/sheet14.xml" Id="Rbeff393fb2164f7e" /><Relationship Type="http://schemas.openxmlformats.org/officeDocument/2006/relationships/worksheet" Target="/xl/worksheets/sheet15.xml" Id="R66bd878389404b2e" /><Relationship Type="http://schemas.openxmlformats.org/officeDocument/2006/relationships/worksheet" Target="/xl/worksheets/sheet16.xml" Id="Rbafa0e21aaa647d4" /><Relationship Type="http://schemas.openxmlformats.org/officeDocument/2006/relationships/worksheet" Target="/xl/worksheets/sheet17.xml" Id="R71a59c5d4fe84b7c" /><Relationship Type="http://schemas.openxmlformats.org/officeDocument/2006/relationships/worksheet" Target="/xl/worksheets/sheet18.xml" Id="Rd91db59a0e4e4ead" /><Relationship Type="http://schemas.openxmlformats.org/officeDocument/2006/relationships/worksheet" Target="/xl/worksheets/sheet19.xml" Id="Rb8e2a22ee4904e63" /><Relationship Type="http://schemas.openxmlformats.org/officeDocument/2006/relationships/worksheet" Target="/xl/worksheets/sheet20.xml" Id="R1b4104d4aff945c5" /><Relationship Type="http://schemas.openxmlformats.org/officeDocument/2006/relationships/worksheet" Target="/xl/worksheets/sheet21.xml" Id="R30673ee829b0493f" /><Relationship Type="http://schemas.openxmlformats.org/officeDocument/2006/relationships/worksheet" Target="/xl/worksheets/sheet22.xml" Id="Rddbbd148d7d542a7" /><Relationship Type="http://schemas.openxmlformats.org/officeDocument/2006/relationships/worksheet" Target="/xl/worksheets/sheet23.xml" Id="R20df9d4852a940ee" /><Relationship Type="http://schemas.openxmlformats.org/officeDocument/2006/relationships/worksheet" Target="/xl/worksheets/sheet24.xml" Id="R141c5fb4e7bd416d" /><Relationship Type="http://schemas.openxmlformats.org/officeDocument/2006/relationships/worksheet" Target="/xl/worksheets/sheet25.xml" Id="R9489162b7dc34724" /><Relationship Type="http://schemas.openxmlformats.org/officeDocument/2006/relationships/worksheet" Target="/xl/worksheets/sheet26.xml" Id="R824a3b12d7174e52" /><Relationship Type="http://schemas.openxmlformats.org/officeDocument/2006/relationships/worksheet" Target="/xl/worksheets/sheet27.xml" Id="Rdf2459ee5d974204" /><Relationship Type="http://schemas.openxmlformats.org/officeDocument/2006/relationships/worksheet" Target="/xl/worksheets/sheet28.xml" Id="R3108bb778f3e4da0" /><Relationship Type="http://schemas.openxmlformats.org/officeDocument/2006/relationships/worksheet" Target="/xl/worksheets/sheet29.xml" Id="R86998095a2d44d4e" /><Relationship Type="http://schemas.openxmlformats.org/officeDocument/2006/relationships/worksheet" Target="/xl/worksheets/sheet30.xml" Id="R587d6eb32093432e" /><Relationship Type="http://schemas.openxmlformats.org/officeDocument/2006/relationships/worksheet" Target="/xl/worksheets/sheet31.xml" Id="Rbc7d1714f9e843d8" /><Relationship Type="http://schemas.openxmlformats.org/officeDocument/2006/relationships/worksheet" Target="/xl/worksheets/sheet32.xml" Id="R73f271fbc9b34677" /><Relationship Type="http://schemas.openxmlformats.org/officeDocument/2006/relationships/worksheet" Target="/xl/worksheets/sheet33.xml" Id="Rb95ba3e6fe02474a" /><Relationship Type="http://schemas.openxmlformats.org/officeDocument/2006/relationships/worksheet" Target="/xl/worksheets/sheet34.xml" Id="R55f9638f9d6242e0" /><Relationship Type="http://schemas.openxmlformats.org/officeDocument/2006/relationships/worksheet" Target="/xl/worksheets/sheet35.xml" Id="Rd65d286eba0f4fb4" /><Relationship Type="http://schemas.openxmlformats.org/officeDocument/2006/relationships/worksheet" Target="/xl/worksheets/sheet36.xml" Id="R6dd41e916f0944bc" /><Relationship Type="http://schemas.openxmlformats.org/officeDocument/2006/relationships/worksheet" Target="/xl/worksheets/sheet37.xml" Id="Re67096a3dbe54486" /><Relationship Type="http://schemas.openxmlformats.org/officeDocument/2006/relationships/worksheet" Target="/xl/worksheets/sheet38.xml" Id="R5a323778ac6845b5" /><Relationship Type="http://schemas.openxmlformats.org/officeDocument/2006/relationships/worksheet" Target="/xl/worksheets/sheet39.xml" Id="R8a1db323e6844d2b" /><Relationship Type="http://schemas.openxmlformats.org/officeDocument/2006/relationships/worksheet" Target="/xl/worksheets/sheet40.xml" Id="Rb719e9bf036445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48" hidden="0" customWidth="1"/>
    <x:col min="5" max="5" width="22" hidden="0" customWidth="1"/>
    <x:col min="6" max="6" width="30" hidden="0" customWidth="1"/>
    <x:col min="7" max="7" width="28" hidden="0" customWidth="1"/>
    <x:col min="8" max="8" width="14" hidden="0" customWidth="1"/>
  </x:cols>
  <x:sheetData>
    <x:row r="1">
      <x:c r="A1" s="20" t="str">
        <x:v>Real Estate Diamonds — Upgraded Student Deal Tools Command Center</x:v>
      </x:c>
      <x:c r="B1" s="21"/>
      <x:c r="C1" s="21"/>
      <x:c r="D1" s="21"/>
      <x:c r="E1" s="21"/>
      <x:c r="F1" s="21"/>
      <x:c r="G1" s="21"/>
      <x:c r="H1" s="21"/>
    </x:row>
    <x:row r="3">
      <x:c r="A3" s="10" t="str">
        <x:v>Use Universal Intake first, then select the strategy tool. Blue = student inputs, green = outputs, yellow = risks/checklists. Do not use any tool as legal, tax, lending, securities, or financial advice.</x:v>
      </x:c>
    </x:row>
    <x:row r="5">
      <x:c r="A5" s="16" t="str">
        <x:v>Strategy Tool</x:v>
      </x:c>
      <x:c r="B5" s="16" t="str">
        <x:v>Level</x:v>
      </x:c>
      <x:c r="C5" s="16" t="str">
        <x:v>Risk</x:v>
      </x:c>
      <x:c r="D5" s="16" t="str">
        <x:v>Best For</x:v>
      </x:c>
      <x:c r="E5" s="16" t="str">
        <x:v>Primary Decision Metric</x:v>
      </x:c>
      <x:c r="F5" s="16" t="str">
        <x:v>Required Evidence</x:v>
      </x:c>
      <x:c r="G5" s="16" t="str">
        <x:v>Base44 Page Slug</x:v>
      </x:c>
      <x:c r="H5" s="16" t="str">
        <x:v>Status</x:v>
      </x:c>
    </x:row>
    <x:row r="6">
      <x:c r="A6" t="str">
        <x:v>Universal Deal Intake &amp; Strategy Selector</x:v>
      </x:c>
      <x:c r="B6" t="str">
        <x:v>Starter</x:v>
      </x:c>
      <x:c r="C6" t="str">
        <x:v>Medium</x:v>
      </x:c>
      <x:c r="D6" t="str">
        <x:v>Collect the core facts every real estate deal needs before picking a strategy.</x:v>
      </x:c>
      <x:c r="E6" t="str">
        <x:v>Decision output</x:v>
      </x:c>
      <x:c r="F6" t="str">
        <x:v>Checklist + uploaded evidence</x:v>
      </x:c>
      <x:c r="G6" t="str">
        <x:v>/tools/universal-intake</x:v>
      </x:c>
      <x:c r="H6" t="str">
        <x:v>Ready</x:v>
      </x:c>
    </x:row>
    <x:row r="7">
      <x:c r="A7" t="str">
        <x:v>Subject-To Existing Mortgage Analyzer</x:v>
      </x:c>
      <x:c r="B7" t="str">
        <x:v>Intermediate</x:v>
      </x:c>
      <x:c r="C7" t="str">
        <x:v>High</x:v>
      </x:c>
      <x:c r="D7" t="str">
        <x:v>Analyze taking title/control while the seller's existing loan stays in place.</x:v>
      </x:c>
      <x:c r="E7" t="str">
        <x:v>Decision output</x:v>
      </x:c>
      <x:c r="F7" t="str">
        <x:v>Checklist + uploaded evidence</x:v>
      </x:c>
      <x:c r="G7" t="str">
        <x:v>/tools/subject-to</x:v>
      </x:c>
      <x:c r="H7" t="str">
        <x:v>Ready</x:v>
      </x:c>
    </x:row>
    <x:row r="8">
      <x:c r="A8" t="str">
        <x:v>Seller Finance / Owner Carry Analyzer</x:v>
      </x:c>
      <x:c r="B8" t="str">
        <x:v>Starter</x:v>
      </x:c>
      <x:c r="C8" t="str">
        <x:v>High</x:v>
      </x:c>
      <x:c r="D8" t="str">
        <x:v>Structure a seller-carry note with down payment, interest, term, amortization and balloon.</x:v>
      </x:c>
      <x:c r="E8" t="str">
        <x:v>Decision output</x:v>
      </x:c>
      <x:c r="F8" t="str">
        <x:v>Checklist + uploaded evidence</x:v>
      </x:c>
      <x:c r="G8" t="str">
        <x:v>/tools/seller-finance</x:v>
      </x:c>
      <x:c r="H8" t="str">
        <x:v>Ready</x:v>
      </x:c>
    </x:row>
    <x:row r="9">
      <x:c r="A9" t="str">
        <x:v>Wraparound Mortgage Analyzer</x:v>
      </x:c>
      <x:c r="B9" t="str">
        <x:v>Advanced</x:v>
      </x:c>
      <x:c r="C9" t="str">
        <x:v>High</x:v>
      </x:c>
      <x:c r="D9" t="str">
        <x:v>Analyze a seller-financed wrap where an underlying mortgage remains and buyer pays seller a larger payment.</x:v>
      </x:c>
      <x:c r="E9" t="str">
        <x:v>Decision output</x:v>
      </x:c>
      <x:c r="F9" t="str">
        <x:v>Checklist + uploaded evidence</x:v>
      </x:c>
      <x:c r="G9" t="str">
        <x:v>/tools/wraparound</x:v>
      </x:c>
      <x:c r="H9" t="str">
        <x:v>Ready</x:v>
      </x:c>
    </x:row>
    <x:row r="10">
      <x:c r="A10" t="str">
        <x:v>Hybrid Subject-To + Seller Finance Stack</x:v>
      </x:c>
      <x:c r="B10" t="str">
        <x:v>Advanced</x:v>
      </x:c>
      <x:c r="C10" t="str">
        <x:v>High</x:v>
      </x:c>
      <x:c r="D10" t="str">
        <x:v>Stack existing debt with new seller carryback or cash-to-seller terms.</x:v>
      </x:c>
      <x:c r="E10" t="str">
        <x:v>Decision output</x:v>
      </x:c>
      <x:c r="F10" t="str">
        <x:v>Checklist + uploaded evidence</x:v>
      </x:c>
      <x:c r="G10" t="str">
        <x:v>/tools/hybrid-terms</x:v>
      </x:c>
      <x:c r="H10" t="str">
        <x:v>Ready</x:v>
      </x:c>
    </x:row>
    <x:row r="11">
      <x:c r="A11" t="str">
        <x:v>Lease Option / Rent-to-Own Analyzer</x:v>
      </x:c>
      <x:c r="B11" t="str">
        <x:v>Starter</x:v>
      </x:c>
      <x:c r="C11" t="str">
        <x:v>Medium</x:v>
      </x:c>
      <x:c r="D11" t="str">
        <x:v>Evaluate control through a lease with option to buy.</x:v>
      </x:c>
      <x:c r="E11" t="str">
        <x:v>Decision output</x:v>
      </x:c>
      <x:c r="F11" t="str">
        <x:v>Checklist + uploaded evidence</x:v>
      </x:c>
      <x:c r="G11" t="str">
        <x:v>/tools/lease-option</x:v>
      </x:c>
      <x:c r="H11" t="str">
        <x:v>Ready</x:v>
      </x:c>
    </x:row>
    <x:row r="12">
      <x:c r="A12" t="str">
        <x:v>Sandwich Lease Option Analyzer</x:v>
      </x:c>
      <x:c r="B12" t="str">
        <x:v>Intermediate</x:v>
      </x:c>
      <x:c r="C12" t="str">
        <x:v>High</x:v>
      </x:c>
      <x:c r="D12" t="str">
        <x:v>Evaluate leasing from seller and subleasing/optioning to tenant-buyer.</x:v>
      </x:c>
      <x:c r="E12" t="str">
        <x:v>Decision output</x:v>
      </x:c>
      <x:c r="F12" t="str">
        <x:v>Checklist + uploaded evidence</x:v>
      </x:c>
      <x:c r="G12" t="str">
        <x:v>/tools/sandwich-lease</x:v>
      </x:c>
      <x:c r="H12" t="str">
        <x:v>Ready</x:v>
      </x:c>
    </x:row>
    <x:row r="13">
      <x:c r="A13" t="str">
        <x:v>Master Lease / Commercial Control Tool</x:v>
      </x:c>
      <x:c r="B13" t="str">
        <x:v>Advanced</x:v>
      </x:c>
      <x:c r="C13" t="str">
        <x:v>Medium</x:v>
      </x:c>
      <x:c r="D13" t="str">
        <x:v>Evaluate master leasing multifamily/commercial assets with spread and performance obligations.</x:v>
      </x:c>
      <x:c r="E13" t="str">
        <x:v>Decision output</x:v>
      </x:c>
      <x:c r="F13" t="str">
        <x:v>Checklist + uploaded evidence</x:v>
      </x:c>
      <x:c r="G13" t="str">
        <x:v>/tools/master-lease</x:v>
      </x:c>
      <x:c r="H13" t="str">
        <x:v>Ready</x:v>
      </x:c>
    </x:row>
    <x:row r="14">
      <x:c r="A14" t="str">
        <x:v>Novation / Wholetail Listing Tool</x:v>
      </x:c>
      <x:c r="B14" t="str">
        <x:v>Advanced</x:v>
      </x:c>
      <x:c r="C14" t="str">
        <x:v>High</x:v>
      </x:c>
      <x:c r="D14" t="str">
        <x:v>Evaluate replacing or modifying a purchase contract so the deal can be resold/listed with consent.</x:v>
      </x:c>
      <x:c r="E14" t="str">
        <x:v>Decision output</x:v>
      </x:c>
      <x:c r="F14" t="str">
        <x:v>Checklist + uploaded evidence</x:v>
      </x:c>
      <x:c r="G14" t="str">
        <x:v>/tools/novation</x:v>
      </x:c>
      <x:c r="H14" t="str">
        <x:v>Ready</x:v>
      </x:c>
    </x:row>
    <x:row r="15">
      <x:c r="A15" t="str">
        <x:v>Wholesale Assignment Fee Analyzer</x:v>
      </x:c>
      <x:c r="B15" t="str">
        <x:v>Starter</x:v>
      </x:c>
      <x:c r="C15" t="str">
        <x:v>Medium</x:v>
      </x:c>
      <x:c r="D15" t="str">
        <x:v>Analyze assigning purchase rights to an end buyer.</x:v>
      </x:c>
      <x:c r="E15" t="str">
        <x:v>Decision output</x:v>
      </x:c>
      <x:c r="F15" t="str">
        <x:v>Checklist + uploaded evidence</x:v>
      </x:c>
      <x:c r="G15" t="str">
        <x:v>/tools/wholesale-assignment</x:v>
      </x:c>
      <x:c r="H15" t="str">
        <x:v>Ready</x:v>
      </x:c>
    </x:row>
    <x:row r="16">
      <x:c r="A16" t="str">
        <x:v>Double Close / Back-to-Back Closing Analyzer</x:v>
      </x:c>
      <x:c r="B16" t="str">
        <x:v>Intermediate</x:v>
      </x:c>
      <x:c r="C16" t="str">
        <x:v>Medium</x:v>
      </x:c>
      <x:c r="D16" t="str">
        <x:v>Analyze buying and reselling through two closings, often to protect spread or handle non-assignable deals.</x:v>
      </x:c>
      <x:c r="E16" t="str">
        <x:v>Decision output</x:v>
      </x:c>
      <x:c r="F16" t="str">
        <x:v>Checklist + uploaded evidence</x:v>
      </x:c>
      <x:c r="G16" t="str">
        <x:v>/tools/double-close</x:v>
      </x:c>
      <x:c r="H16" t="str">
        <x:v>Ready</x:v>
      </x:c>
    </x:row>
    <x:row r="17">
      <x:c r="A17" t="str">
        <x:v>Wholetail / Light Rehab Resale Tool</x:v>
      </x:c>
      <x:c r="B17" t="str">
        <x:v>Intermediate</x:v>
      </x:c>
      <x:c r="C17" t="str">
        <x:v>Medium</x:v>
      </x:c>
      <x:c r="D17" t="str">
        <x:v>Analyze closing on a property, doing minimal cleanup/repairs, and reselling quickly.</x:v>
      </x:c>
      <x:c r="E17" t="str">
        <x:v>Decision output</x:v>
      </x:c>
      <x:c r="F17" t="str">
        <x:v>Checklist + uploaded evidence</x:v>
      </x:c>
      <x:c r="G17" t="str">
        <x:v>/tools/wholetail</x:v>
      </x:c>
      <x:c r="H17" t="str">
        <x:v>Ready</x:v>
      </x:c>
    </x:row>
    <x:row r="18">
      <x:c r="A18" t="str">
        <x:v>Fix &amp; Flip Full Rehab Analyzer</x:v>
      </x:c>
      <x:c r="B18" t="str">
        <x:v>Starter</x:v>
      </x:c>
      <x:c r="C18" t="str">
        <x:v>Medium</x:v>
      </x:c>
      <x:c r="D18" t="str">
        <x:v>Calculate MAO, rehab, holding costs, resale costs, and target profit.</x:v>
      </x:c>
      <x:c r="E18" t="str">
        <x:v>Decision output</x:v>
      </x:c>
      <x:c r="F18" t="str">
        <x:v>Checklist + uploaded evidence</x:v>
      </x:c>
      <x:c r="G18" t="str">
        <x:v>/tools/fix-and-flip</x:v>
      </x:c>
      <x:c r="H18" t="str">
        <x:v>Ready</x:v>
      </x:c>
    </x:row>
    <x:row r="19">
      <x:c r="A19" t="str">
        <x:v>BRRRR Buy-Rehab-Rent-Refinance-Repeat Tool</x:v>
      </x:c>
      <x:c r="B19" t="str">
        <x:v>Intermediate</x:v>
      </x:c>
      <x:c r="C19" t="str">
        <x:v>Medium</x:v>
      </x:c>
      <x:c r="D19" t="str">
        <x:v>Evaluate whether a rehabbed rental can refinance capital back out while cash flowing.</x:v>
      </x:c>
      <x:c r="E19" t="str">
        <x:v>Decision output</x:v>
      </x:c>
      <x:c r="F19" t="str">
        <x:v>Checklist + uploaded evidence</x:v>
      </x:c>
      <x:c r="G19" t="str">
        <x:v>/tools/brrrr-rental</x:v>
      </x:c>
      <x:c r="H19" t="str">
        <x:v>Ready</x:v>
      </x:c>
    </x:row>
    <x:row r="20">
      <x:c r="A20" t="str">
        <x:v>Long-Term Rental Buy &amp; Hold Analyzer</x:v>
      </x:c>
      <x:c r="B20" t="str">
        <x:v>Starter</x:v>
      </x:c>
      <x:c r="C20" t="str">
        <x:v>Medium</x:v>
      </x:c>
      <x:c r="D20" t="str">
        <x:v>Analyze conventional rental cash flow, cap rate, DSCR, cash-on-cash, reserves and sensitivity.</x:v>
      </x:c>
      <x:c r="E20" t="str">
        <x:v>Decision output</x:v>
      </x:c>
      <x:c r="F20" t="str">
        <x:v>Checklist + uploaded evidence</x:v>
      </x:c>
      <x:c r="G20" t="str">
        <x:v>/tools/long-term-rental</x:v>
      </x:c>
      <x:c r="H20" t="str">
        <x:v>Ready</x:v>
      </x:c>
    </x:row>
    <x:row r="21">
      <x:c r="A21" t="str">
        <x:v>DSCR Loan Rental Tool</x:v>
      </x:c>
      <x:c r="B21" t="str">
        <x:v>Intermediate</x:v>
      </x:c>
      <x:c r="C21" t="str">
        <x:v>Medium</x:v>
      </x:c>
      <x:c r="D21" t="str">
        <x:v>Analyze rental qualification under debt-service-coverage-ratio lending.</x:v>
      </x:c>
      <x:c r="E21" t="str">
        <x:v>Decision output</x:v>
      </x:c>
      <x:c r="F21" t="str">
        <x:v>Checklist + uploaded evidence</x:v>
      </x:c>
      <x:c r="G21" t="str">
        <x:v>/tools/dscr-rental</x:v>
      </x:c>
      <x:c r="H21" t="str">
        <x:v>Ready</x:v>
      </x:c>
    </x:row>
    <x:row r="22">
      <x:c r="A22" t="str">
        <x:v>Short/Mid-Term Rental Analyzer</x:v>
      </x:c>
      <x:c r="B22" t="str">
        <x:v>Advanced</x:v>
      </x:c>
      <x:c r="C22" t="str">
        <x:v>High</x:v>
      </x:c>
      <x:c r="D22" t="str">
        <x:v>Underwrite furnished STR/MTR performance, seasonality, occupancy, platform fees, furnishing and regulation risk.</x:v>
      </x:c>
      <x:c r="E22" t="str">
        <x:v>Decision output</x:v>
      </x:c>
      <x:c r="F22" t="str">
        <x:v>Checklist + uploaded evidence</x:v>
      </x:c>
      <x:c r="G22" t="str">
        <x:v>/tools/str-mtr</x:v>
      </x:c>
      <x:c r="H22" t="str">
        <x:v>Ready</x:v>
      </x:c>
    </x:row>
    <x:row r="23">
      <x:c r="A23" t="str">
        <x:v>Co-Living / Room Rental Analyzer</x:v>
      </x:c>
      <x:c r="B23" t="str">
        <x:v>Advanced</x:v>
      </x:c>
      <x:c r="C23" t="str">
        <x:v>High</x:v>
      </x:c>
      <x:c r="D23" t="str">
        <x:v>Analyze renting by room with higher gross income but higher management and legal risk.</x:v>
      </x:c>
      <x:c r="E23" t="str">
        <x:v>Decision output</x:v>
      </x:c>
      <x:c r="F23" t="str">
        <x:v>Checklist + uploaded evidence</x:v>
      </x:c>
      <x:c r="G23" t="str">
        <x:v>/tools/coliving</x:v>
      </x:c>
      <x:c r="H23" t="str">
        <x:v>Ready</x:v>
      </x:c>
    </x:row>
    <x:row r="24">
      <x:c r="A24" t="str">
        <x:v>House Hack / Owner-Occupant Strategy Tool</x:v>
      </x:c>
      <x:c r="B24" t="str">
        <x:v>Starter</x:v>
      </x:c>
      <x:c r="C24" t="str">
        <x:v>Medium</x:v>
      </x:c>
      <x:c r="D24" t="str">
        <x:v>Analyze buying a property to occupy one unit/room and rent the rest.</x:v>
      </x:c>
      <x:c r="E24" t="str">
        <x:v>Decision output</x:v>
      </x:c>
      <x:c r="F24" t="str">
        <x:v>Checklist + uploaded evidence</x:v>
      </x:c>
      <x:c r="G24" t="str">
        <x:v>/tools/house-hack</x:v>
      </x:c>
      <x:c r="H24" t="str">
        <x:v>Ready</x:v>
      </x:c>
    </x:row>
    <x:row r="25">
      <x:c r="A25" t="str">
        <x:v>Gator / EMD Funding Deal Tool</x:v>
      </x:c>
      <x:c r="B25" t="str">
        <x:v>Advanced</x:v>
      </x:c>
      <x:c r="C25" t="str">
        <x:v>High</x:v>
      </x:c>
      <x:c r="D25" t="str">
        <x:v>Evaluate short-term EMD funding or deal connector opportunities with repayment controls.</x:v>
      </x:c>
      <x:c r="E25" t="str">
        <x:v>Decision output</x:v>
      </x:c>
      <x:c r="F25" t="str">
        <x:v>Checklist + uploaded evidence</x:v>
      </x:c>
      <x:c r="G25" t="str">
        <x:v>/tools/gator-emd</x:v>
      </x:c>
      <x:c r="H25" t="str">
        <x:v>Ready</x:v>
      </x:c>
    </x:row>
    <x:row r="26">
      <x:c r="A26" t="str">
        <x:v>Transactional Funding / Same-Day Funding Tool</x:v>
      </x:c>
      <x:c r="B26" t="str">
        <x:v>Advanced</x:v>
      </x:c>
      <x:c r="C26" t="str">
        <x:v>Medium</x:v>
      </x:c>
      <x:c r="D26" t="str">
        <x:v>Analyze short-term funds used for double closes where the end buyer is ready.</x:v>
      </x:c>
      <x:c r="E26" t="str">
        <x:v>Decision output</x:v>
      </x:c>
      <x:c r="F26" t="str">
        <x:v>Checklist + uploaded evidence</x:v>
      </x:c>
      <x:c r="G26" t="str">
        <x:v>/tools/transactional-funding</x:v>
      </x:c>
      <x:c r="H26" t="str">
        <x:v>Ready</x:v>
      </x:c>
    </x:row>
    <x:row r="27">
      <x:c r="A27" t="str">
        <x:v>Private Money / JV Funding Tool</x:v>
      </x:c>
      <x:c r="B27" t="str">
        <x:v>Advanced</x:v>
      </x:c>
      <x:c r="C27" t="str">
        <x:v>High</x:v>
      </x:c>
      <x:c r="D27" t="str">
        <x:v>Analyze borrowing from a private lender or partnering with a JV while managing securities/lending risk.</x:v>
      </x:c>
      <x:c r="E27" t="str">
        <x:v>Decision output</x:v>
      </x:c>
      <x:c r="F27" t="str">
        <x:v>Checklist + uploaded evidence</x:v>
      </x:c>
      <x:c r="G27" t="str">
        <x:v>/tools/private-money-jv</x:v>
      </x:c>
      <x:c r="H27" t="str">
        <x:v>Ready</x:v>
      </x:c>
    </x:row>
    <x:row r="28">
      <x:c r="A28" t="str">
        <x:v>Hard Money Rehab Loan Analyzer</x:v>
      </x:c>
      <x:c r="B28" t="str">
        <x:v>Intermediate</x:v>
      </x:c>
      <x:c r="C28" t="str">
        <x:v>Medium</x:v>
      </x:c>
      <x:c r="D28" t="str">
        <x:v>Analyze hard money leverage, points, interest, draw schedule, LTC/LTV and rehab cash gaps.</x:v>
      </x:c>
      <x:c r="E28" t="str">
        <x:v>Decision output</x:v>
      </x:c>
      <x:c r="F28" t="str">
        <x:v>Checklist + uploaded evidence</x:v>
      </x:c>
      <x:c r="G28" t="str">
        <x:v>/tools/hard-money</x:v>
      </x:c>
      <x:c r="H28" t="str">
        <x:v>Ready</x:v>
      </x:c>
    </x:row>
    <x:row r="29">
      <x:c r="A29" t="str">
        <x:v>Gap Funding / Down Payment Partner Tool</x:v>
      </x:c>
      <x:c r="B29" t="str">
        <x:v>Advanced</x:v>
      </x:c>
      <x:c r="C29" t="str">
        <x:v>High</x:v>
      </x:c>
      <x:c r="D29" t="str">
        <x:v>Evaluate smaller capital partners filling down payment, rehab gap, or closing gap.</x:v>
      </x:c>
      <x:c r="E29" t="str">
        <x:v>Decision output</x:v>
      </x:c>
      <x:c r="F29" t="str">
        <x:v>Checklist + uploaded evidence</x:v>
      </x:c>
      <x:c r="G29" t="str">
        <x:v>/tools/gap-funding</x:v>
      </x:c>
      <x:c r="H29" t="str">
        <x:v>Ready</x:v>
      </x:c>
    </x:row>
    <x:row r="30">
      <x:c r="A30" t="str">
        <x:v>Assumable Mortgage Analyzer</x:v>
      </x:c>
      <x:c r="B30" t="str">
        <x:v>Intermediate</x:v>
      </x:c>
      <x:c r="C30" t="str">
        <x:v>Medium</x:v>
      </x:c>
      <x:c r="D30" t="str">
        <x:v>Analyze FHA/VA/USDA or other assumable loan opportunities with lender-approved assumption.</x:v>
      </x:c>
      <x:c r="E30" t="str">
        <x:v>Decision output</x:v>
      </x:c>
      <x:c r="F30" t="str">
        <x:v>Checklist + uploaded evidence</x:v>
      </x:c>
      <x:c r="G30" t="str">
        <x:v>/tools/assumable-mortgage</x:v>
      </x:c>
      <x:c r="H30" t="str">
        <x:v>Ready</x:v>
      </x:c>
    </x:row>
    <x:row r="31">
      <x:c r="A31" t="str">
        <x:v>Owner Carry Second Mortgage Tool</x:v>
      </x:c>
      <x:c r="B31" t="str">
        <x:v>Advanced</x:v>
      </x:c>
      <x:c r="C31" t="str">
        <x:v>High</x:v>
      </x:c>
      <x:c r="D31" t="str">
        <x:v>Analyze conventional first loan plus seller-carried second/junior mortgage.</x:v>
      </x:c>
      <x:c r="E31" t="str">
        <x:v>Decision output</x:v>
      </x:c>
      <x:c r="F31" t="str">
        <x:v>Checklist + uploaded evidence</x:v>
      </x:c>
      <x:c r="G31" t="str">
        <x:v>/tools/owner-carry-second</x:v>
      </x:c>
      <x:c r="H31" t="str">
        <x:v>Ready</x:v>
      </x:c>
    </x:row>
    <x:row r="32">
      <x:c r="A32" t="str">
        <x:v>Land Contract / Contract for Deed Tool</x:v>
      </x:c>
      <x:c r="B32" t="str">
        <x:v>Advanced</x:v>
      </x:c>
      <x:c r="C32" t="str">
        <x:v>High</x:v>
      </x:c>
      <x:c r="D32" t="str">
        <x:v>Analyze seller retains legal title while buyer makes payments toward deed transfer.</x:v>
      </x:c>
      <x:c r="E32" t="str">
        <x:v>Decision output</x:v>
      </x:c>
      <x:c r="F32" t="str">
        <x:v>Checklist + uploaded evidence</x:v>
      </x:c>
      <x:c r="G32" t="str">
        <x:v>/tools/land-contract</x:v>
      </x:c>
      <x:c r="H32" t="str">
        <x:v>Ready</x:v>
      </x:c>
    </x:row>
    <x:row r="33">
      <x:c r="A33" t="str">
        <x:v>Equity Share / Appreciation Participation Tool</x:v>
      </x:c>
      <x:c r="B33" t="str">
        <x:v>Advanced</x:v>
      </x:c>
      <x:c r="C33" t="str">
        <x:v>High</x:v>
      </x:c>
      <x:c r="D33" t="str">
        <x:v>Evaluate deals where parties share future appreciation, equity, cash flow, or profits.</x:v>
      </x:c>
      <x:c r="E33" t="str">
        <x:v>Decision output</x:v>
      </x:c>
      <x:c r="F33" t="str">
        <x:v>Checklist + uploaded evidence</x:v>
      </x:c>
      <x:c r="G33" t="str">
        <x:v>/tools/equity-share</x:v>
      </x:c>
      <x:c r="H33" t="str">
        <x:v>Ready</x:v>
      </x:c>
    </x:row>
    <x:row r="34">
      <x:c r="A34" t="str">
        <x:v>Vacant Land / Infill Lot Analyzer</x:v>
      </x:c>
      <x:c r="B34" t="str">
        <x:v>Intermediate</x:v>
      </x:c>
      <x:c r="C34" t="str">
        <x:v>Medium</x:v>
      </x:c>
      <x:c r="D34" t="str">
        <x:v>Evaluate land purchase/resale/buildability risk, entitlement, utilities and exit price.</x:v>
      </x:c>
      <x:c r="E34" t="str">
        <x:v>Decision output</x:v>
      </x:c>
      <x:c r="F34" t="str">
        <x:v>Checklist + uploaded evidence</x:v>
      </x:c>
      <x:c r="G34" t="str">
        <x:v>/tools/land-deals</x:v>
      </x:c>
      <x:c r="H34" t="str">
        <x:v>Ready</x:v>
      </x:c>
    </x:row>
    <x:row r="35">
      <x:c r="A35" t="str">
        <x:v>Mobile Home / MHP Deal Tool</x:v>
      </x:c>
      <x:c r="B35" t="str">
        <x:v>Advanced</x:v>
      </x:c>
      <x:c r="C35" t="str">
        <x:v>High</x:v>
      </x:c>
      <x:c r="D35" t="str">
        <x:v>Analyze mobile home or park-owned-home deals with lot rent, repairs, title and tenant risk.</x:v>
      </x:c>
      <x:c r="E35" t="str">
        <x:v>Decision output</x:v>
      </x:c>
      <x:c r="F35" t="str">
        <x:v>Checklist + uploaded evidence</x:v>
      </x:c>
      <x:c r="G35" t="str">
        <x:v>/tools/mobile-home-parks</x:v>
      </x:c>
      <x:c r="H35" t="str">
        <x:v>Ready</x:v>
      </x:c>
    </x:row>
    <x:row r="36">
      <x:c r="A36" t="str">
        <x:v>Multifamily T-12 Normalization Tool</x:v>
      </x:c>
      <x:c r="B36" t="str">
        <x:v>Advanced</x:v>
      </x:c>
      <x:c r="C36" t="str">
        <x:v>Medium</x:v>
      </x:c>
      <x:c r="D36" t="str">
        <x:v>Map trailing-12 income/expenses into normalized NOI and valuation.</x:v>
      </x:c>
      <x:c r="E36" t="str">
        <x:v>Decision output</x:v>
      </x:c>
      <x:c r="F36" t="str">
        <x:v>Checklist + uploaded evidence</x:v>
      </x:c>
      <x:c r="G36" t="str">
        <x:v>/tools/multifamily-t12</x:v>
      </x:c>
      <x:c r="H36" t="str">
        <x:v>Ready</x:v>
      </x:c>
    </x:row>
    <x:row r="37">
      <x:c r="A37" t="str">
        <x:v>Multifamily Pro Forma / Value-Add Tool</x:v>
      </x:c>
      <x:c r="B37" t="str">
        <x:v>Advanced</x:v>
      </x:c>
      <x:c r="C37" t="str">
        <x:v>Medium</x:v>
      </x:c>
      <x:c r="D37" t="str">
        <x:v>Evaluate upside from rent increases, expense changes, cap rate and debt assumptions.</x:v>
      </x:c>
      <x:c r="E37" t="str">
        <x:v>Decision output</x:v>
      </x:c>
      <x:c r="F37" t="str">
        <x:v>Checklist + uploaded evidence</x:v>
      </x:c>
      <x:c r="G37" t="str">
        <x:v>/tools/mf-pro-forma</x:v>
      </x:c>
      <x:c r="H37" t="str">
        <x:v>Ready</x:v>
      </x:c>
    </x:row>
    <x:row r="38">
      <x:c r="A38" t="str">
        <x:v>Commercial Lease / Triple-Net Deal Tool</x:v>
      </x:c>
      <x:c r="B38" t="str">
        <x:v>Advanced</x:v>
      </x:c>
      <x:c r="C38" t="str">
        <x:v>Medium</x:v>
      </x:c>
      <x:c r="D38" t="str">
        <x:v>Analyze commercial property income, lease quality, tenant risk, cap rate and financing.</x:v>
      </x:c>
      <x:c r="E38" t="str">
        <x:v>Decision output</x:v>
      </x:c>
      <x:c r="F38" t="str">
        <x:v>Checklist + uploaded evidence</x:v>
      </x:c>
      <x:c r="G38" t="str">
        <x:v>/tools/commercial-lease</x:v>
      </x:c>
      <x:c r="H38" t="str">
        <x:v>Ready</x:v>
      </x:c>
    </x:row>
    <x:row r="39">
      <x:c r="A39" t="str">
        <x:v>Pre-Foreclosure / Arrears Rescue Tool</x:v>
      </x:c>
      <x:c r="B39" t="str">
        <x:v>Advanced</x:v>
      </x:c>
      <x:c r="C39" t="str">
        <x:v>High</x:v>
      </x:c>
      <x:c r="D39" t="str">
        <x:v>Evaluate deals involving arrears, reinstatement, payoff, foreclosure timeline and homeowner protection.</x:v>
      </x:c>
      <x:c r="E39" t="str">
        <x:v>Decision output</x:v>
      </x:c>
      <x:c r="F39" t="str">
        <x:v>Checklist + uploaded evidence</x:v>
      </x:c>
      <x:c r="G39" t="str">
        <x:v>/tools/preforeclosure</x:v>
      </x:c>
      <x:c r="H39" t="str">
        <x:v>Ready</x:v>
      </x:c>
    </x:row>
    <x:row r="40">
      <x:c r="A40" t="str">
        <x:v>Probate / Estate Deal Intake Tool</x:v>
      </x:c>
      <x:c r="B40" t="str">
        <x:v>Intermediate</x:v>
      </x:c>
      <x:c r="C40" t="str">
        <x:v>Medium</x:v>
      </x:c>
      <x:c r="D40" t="str">
        <x:v>Analyze estate-owned properties where authority, heirs, title and timing are central risks.</x:v>
      </x:c>
      <x:c r="E40" t="str">
        <x:v>Decision output</x:v>
      </x:c>
      <x:c r="F40" t="str">
        <x:v>Checklist + uploaded evidence</x:v>
      </x:c>
      <x:c r="G40" t="str">
        <x:v>/tools/probate-estate</x:v>
      </x:c>
      <x:c r="H40" t="str">
        <x:v>Ready</x:v>
      </x:c>
    </x:row>
    <x:row r="41">
      <x:c r="A41" t="str">
        <x:v>Creative Deal Stack Builder</x:v>
      </x:c>
      <x:c r="B41" t="str">
        <x:v>Advanced</x:v>
      </x:c>
      <x:c r="C41" t="str">
        <x:v>High</x:v>
      </x:c>
      <x:c r="D41" t="str">
        <x:v>Combine multiple strategies and compare blended outcomes.</x:v>
      </x:c>
      <x:c r="E41" t="str">
        <x:v>Decision output</x:v>
      </x:c>
      <x:c r="F41" t="str">
        <x:v>Checklist + uploaded evidence</x:v>
      </x:c>
      <x:c r="G41" t="str">
        <x:v>/tools/deal-stack</x:v>
      </x:c>
      <x:c r="H41" t="str">
        <x:v>Ready</x:v>
      </x:c>
    </x:row>
    <x:row r="42">
      <x:c r="A42" t="str">
        <x:v>Exit Strategy Matrix Tool</x:v>
      </x:c>
      <x:c r="B42" t="str">
        <x:v>Starter</x:v>
      </x:c>
      <x:c r="C42" t="str">
        <x:v>Medium</x:v>
      </x:c>
      <x:c r="D42" t="str">
        <x:v>Compare possible exits: wholesale, flip, rental, BRRRR, seller finance resale, lease option, wholetail.</x:v>
      </x:c>
      <x:c r="E42" t="str">
        <x:v>Decision output</x:v>
      </x:c>
      <x:c r="F42" t="str">
        <x:v>Checklist + uploaded evidence</x:v>
      </x:c>
      <x:c r="G42" t="str">
        <x:v>/tools/exit-matrix</x:v>
      </x:c>
      <x:c r="H42" t="str">
        <x:v>Ready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Universal Deal Intake &amp; Strategy Selector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Collect the core facts every real estate deal needs before picking a strategy.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Asking Price</x:v>
      </x:c>
      <x:c r="B8" s="48" t="n">
        <x:v>200000</x:v>
      </x:c>
      <x:c r="C8" t="str"/>
      <x:c r="D8" s="41" t="str">
        <x:v>Equity Spread</x:v>
      </x:c>
      <x:c r="E8" s="52" t="n">
        <x:f>B9-B8</x:f>
        <x:v>50000</x:v>
      </x:c>
      <x:c r="F8" t="str">
        <x:v>Auto-calculated. Verify assumptions before using.</x:v>
      </x:c>
      <x:c r="H8" s="46" t="str">
        <x:v>Seller motivation captured</x:v>
      </x:c>
      <x:c r="I8" t="str">
        <x:v>Not Started</x:v>
      </x:c>
      <x:c r="J8" t="str"/>
      <x:c r="K8" t="str"/>
    </x:row>
    <x:row r="9">
      <x:c r="A9" s="35" t="str">
        <x:v>ARV / Current Value</x:v>
      </x:c>
      <x:c r="B9" s="48" t="n">
        <x:v>250000</x:v>
      </x:c>
      <x:c r="C9" t="str"/>
      <x:c r="D9" s="41" t="str">
        <x:v>Equity %</x:v>
      </x:c>
      <x:c r="E9" s="52" t="n">
        <x:f>IFERROR((B9-B11)/B9,0)</x:f>
        <x:v>0.28</x:v>
      </x:c>
      <x:c r="F9" t="str">
        <x:v>Auto-calculated. Verify assumptions before using.</x:v>
      </x:c>
      <x:c r="H9" s="46" t="str">
        <x:v>Mortgage payoff / statement requested</x:v>
      </x:c>
      <x:c r="I9" t="str">
        <x:v>Not Started</x:v>
      </x:c>
      <x:c r="J9" t="str"/>
      <x:c r="K9" t="str"/>
    </x:row>
    <x:row r="10">
      <x:c r="A10" s="35" t="str">
        <x:v>Repair Budget</x:v>
      </x:c>
      <x:c r="B10" s="48" t="n">
        <x:v>25000</x:v>
      </x:c>
      <x:c r="C10" t="str"/>
      <x:c r="D10" s="41" t="str">
        <x:v>Rent to PITI Ratio</x:v>
      </x:c>
      <x:c r="E10" s="52" t="n">
        <x:f>IFERROR(B13/B12,0)</x:f>
        <x:v>1.4666666666666666</x:v>
      </x:c>
      <x:c r="F10" t="str">
        <x:v>Auto-calculated. Verify assumptions before using.</x:v>
      </x:c>
      <x:c r="H10" s="46" t="str">
        <x:v>Comps pulled from 3+ sources</x:v>
      </x:c>
      <x:c r="I10" t="str">
        <x:v>Not Started</x:v>
      </x:c>
      <x:c r="J10" t="str"/>
      <x:c r="K10" t="str"/>
    </x:row>
    <x:row r="11">
      <x:c r="A11" s="35" t="str">
        <x:v>Existing Loan Balance</x:v>
      </x:c>
      <x:c r="B11" s="48" t="n">
        <x:v>180000</x:v>
      </x:c>
      <x:c r="C11" t="str"/>
      <x:c r="D11" s="41" t="str">
        <x:v>Cash Gap</x:v>
      </x:c>
      <x:c r="E11" s="52" t="n">
        <x:f>MAX(0,B15+B16+B10-B17)</x:f>
        <x:v>40992</x:v>
      </x:c>
      <x:c r="F11" t="str">
        <x:v>Auto-calculated. Verify assumptions before using.</x:v>
      </x:c>
      <x:c r="H11" s="46" t="str">
        <x:v>Repair photos uploaded</x:v>
      </x:c>
      <x:c r="I11" t="str">
        <x:v>Not Started</x:v>
      </x:c>
      <x:c r="J11" t="str"/>
      <x:c r="K11" t="str"/>
    </x:row>
    <x:row r="12">
      <x:c r="A12" s="35" t="str">
        <x:v>Monthly PITI</x:v>
      </x:c>
      <x:c r="B12" s="48" t="n">
        <x:v>1500</x:v>
      </x:c>
      <x:c r="C12" t="str"/>
      <x:c r="D12" s="41" t="str">
        <x:v>Motivation Weighted Score</x:v>
      </x:c>
      <x:c r="E12" s="52" t="n">
        <x:f>B18*10+B20*5+B21*5</x:f>
        <x:v>305</x:v>
      </x:c>
      <x:c r="F12" t="str">
        <x:v>Auto-calculated. Verify assumptions before using.</x:v>
      </x:c>
      <x:c r="H12" s="46" t="str">
        <x:v>Title red flags checked</x:v>
      </x:c>
      <x:c r="I12" t="str">
        <x:v>Not Started</x:v>
      </x:c>
      <x:c r="J12" t="str"/>
      <x:c r="K12" t="str"/>
    </x:row>
    <x:row r="13">
      <x:c r="A13" s="35" t="str">
        <x:v>Market Rent</x:v>
      </x:c>
      <x:c r="B13" s="48" t="n">
        <x:v>2200</x:v>
      </x:c>
      <x:c r="C13" t="str"/>
      <x:c r="D13" s="41" t="str">
        <x:v>Suggested Strategy</x:v>
      </x:c>
      <x:c r="E13" s="52" t="str">
        <x:f>IF(B14&gt;0,"Subject-To / Wrap / Seller Finance",IF(B8&lt;B9*0.75,"Wholesale / Flip / BRRRR",IF(B13&gt;B12*1.2,"Rental / DSCR","Needs Better Terms")))</x:f>
        <x:v>Subject-To / Wrap / Seller Finance</x:v>
      </x:c>
      <x:c r="F13" t="str">
        <x:v>Auto-calculated. Verify assumptions before using.</x:v>
      </x:c>
      <x:c r="H13" s="46" t="str">
        <x:v>Exit strategy chosen</x:v>
      </x:c>
      <x:c r="I13" t="str">
        <x:v>Not Started</x:v>
      </x:c>
      <x:c r="J13" t="str"/>
      <x:c r="K13" t="str"/>
    </x:row>
    <x:row r="14">
      <x:c r="A14" s="35" t="str">
        <x:v>Seller Cash Wanted</x:v>
      </x:c>
      <x:c r="B14" s="48" t="n">
        <x:v>5000</x:v>
      </x:c>
      <x:c r="C14" t="str"/>
      <x:c r="D14" s="41" t="str">
        <x:v>Decision</x:v>
      </x:c>
      <x:c r="E14" s="52" t="str">
        <x:f>IF(AND(B18&gt;=7,B20&gt;=6,OR(B9-B8&gt;20000,B13/B12&gt;1.2)),"GO",IF(B20&lt;5,"MAYBE - VERIFY COMPS","NO / RENEGOTIATE"))</x:f>
        <x:v>MAYBE - VERIFY COMPS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Closing Costs</x:v>
      </x:c>
      <x:c r="B15" s="48" t="n">
        <x:v>6000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Available Student Cash</x:v>
      </x:c>
      <x:c r="B16" s="48" t="n">
        <x:v>10000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Seller Motivation Score 1-10</x:v>
      </x:c>
      <x:c r="B17" s="48" t="n">
        <x:v>8</x:v>
      </x:c>
      <x:c r="C17" t="str"/>
      <x:c r="E17" s="53"/>
    </x:row>
    <x:row r="18">
      <x:c r="A18" s="35" t="str">
        <x:v>Timeline Days</x:v>
      </x:c>
      <x:c r="B18" s="48" t="n">
        <x:v>30</x:v>
      </x:c>
      <x:c r="C18" t="str"/>
      <x:c r="E18" s="53"/>
    </x:row>
    <x:row r="19">
      <x:c r="A19" s="35" t="str">
        <x:v>Comps Confidence 1-10</x:v>
      </x:c>
      <x:c r="B19" s="48" t="n">
        <x:v>7</x:v>
      </x:c>
      <x:c r="C19" t="str"/>
      <x:c r="E19" s="53"/>
    </x:row>
    <x:row r="20">
      <x:c r="A20" s="35" t="str">
        <x:v>Occupancy: Vacant=1/Occupied=0</x:v>
      </x:c>
      <x:c r="B20" s="48" t="n">
        <x:v>1</x:v>
      </x:c>
      <x:c r="C20" t="str"/>
      <x:c r="E20" s="53"/>
    </x:row>
    <x:row r="21">
      <x:c r="A21" s="35" t="str">
        <x:v>Known Legal/Title Issue? Yes=1</x:v>
      </x:c>
      <x:c r="B21" s="48" t="n">
        <x:v>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Subject-To Existing Mortgage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taking title/control while the seller's existing loan stays in place.</x:v>
      </x:c>
    </x:row>
    <x:row r="3">
      <x:c r="A3" s="10" t="str">
        <x:v>Level: Intermediate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ARV / Value</x:v>
      </x:c>
      <x:c r="B8" s="48" t="n">
        <x:v>250000</x:v>
      </x:c>
      <x:c r="C8" t="str"/>
      <x:c r="D8" s="41" t="str">
        <x:v>Cash Needed</x:v>
      </x:c>
      <x:c r="E8" s="52" t="n">
        <x:f>SUM(B11:B14)</x:f>
        <x:v>23500</x:v>
      </x:c>
      <x:c r="F8" t="str">
        <x:v>Auto-calculated. Verify assumptions before using.</x:v>
      </x:c>
      <x:c r="H8" s="46" t="str">
        <x:v>Attorney/title review</x:v>
      </x:c>
      <x:c r="I8" t="str">
        <x:v>Not Started</x:v>
      </x:c>
      <x:c r="J8" t="str"/>
      <x:c r="K8" t="str"/>
    </x:row>
    <x:row r="9">
      <x:c r="A9" s="35" t="str">
        <x:v>Existing Loan Balance</x:v>
      </x:c>
      <x:c r="B9" s="48" t="n">
        <x:v>185000</x:v>
      </x:c>
      <x:c r="C9" t="str"/>
      <x:c r="D9" s="41" t="str">
        <x:v>Equity Position</x:v>
      </x:c>
      <x:c r="E9" s="52" t="n">
        <x:f>B8-B9</x:f>
        <x:v>65000</x:v>
      </x:c>
      <x:c r="F9" t="str">
        <x:v>Auto-calculated. Verify assumptions before using.</x:v>
      </x:c>
      <x:c r="H9" s="46" t="str">
        <x:v>Written seller disclosure about existing loan</x:v>
      </x:c>
      <x:c r="I9" t="str">
        <x:v>Not Started</x:v>
      </x:c>
      <x:c r="J9" t="str"/>
      <x:c r="K9" t="str"/>
    </x:row>
    <x:row r="10">
      <x:c r="A10" s="35" t="str">
        <x:v>Monthly PITI</x:v>
      </x:c>
      <x:c r="B10" s="48" t="n">
        <x:v>1450</x:v>
      </x:c>
      <x:c r="C10" t="str"/>
      <x:c r="D10" s="41" t="str">
        <x:v>Monthly Net Before Debt</x:v>
      </x:c>
      <x:c r="E10" s="52" t="n">
        <x:f>B15+B16-(B15*B18)-B17</x:f>
        <x:v>1666</x:v>
      </x:c>
      <x:c r="F10" t="str">
        <x:v>Auto-calculated. Verify assumptions before using.</x:v>
      </x:c>
      <x:c r="H10" s="46" t="str">
        <x:v>Loan servicer and insurance handling plan</x:v>
      </x:c>
      <x:c r="I10" t="str">
        <x:v>Not Started</x:v>
      </x:c>
      <x:c r="J10" t="str"/>
      <x:c r="K10" t="str"/>
    </x:row>
    <x:row r="11">
      <x:c r="A11" s="35" t="str">
        <x:v>Arrears / Catch-Up</x:v>
      </x:c>
      <x:c r="B11" s="48" t="n">
        <x:v>0</x:v>
      </x:c>
      <x:c r="C11" t="str"/>
      <x:c r="D11" s="41" t="str">
        <x:v>Monthly Cash Flow</x:v>
      </x:c>
      <x:c r="E11" s="52" t="n">
        <x:f>E10-B10</x:f>
        <x:v>216</x:v>
      </x:c>
      <x:c r="F11" t="str">
        <x:v>Auto-calculated. Verify assumptions before using.</x:v>
      </x:c>
      <x:c r="H11" s="46" t="str">
        <x:v>Mortgage statement verified</x:v>
      </x:c>
      <x:c r="I11" t="str">
        <x:v>Not Started</x:v>
      </x:c>
      <x:c r="J11" t="str"/>
      <x:c r="K11" t="str"/>
    </x:row>
    <x:row r="12">
      <x:c r="A12" s="35" t="str">
        <x:v>Seller Cash to Walk</x:v>
      </x:c>
      <x:c r="B12" s="48" t="n">
        <x:v>5000</x:v>
      </x:c>
      <x:c r="C12" t="str"/>
      <x:c r="D12" s="41" t="str">
        <x:v>Required Reserves</x:v>
      </x:c>
      <x:c r="E12" s="52" t="n">
        <x:f>B10*B19</x:f>
        <x:v>8700</x:v>
      </x:c>
      <x:c r="F12" t="str">
        <x:v>Auto-calculated. Verify assumptions before using.</x:v>
      </x:c>
      <x:c r="H12" s="46" t="str">
        <x:v>Land trust/servicing plan reviewed</x:v>
      </x:c>
      <x:c r="I12" t="str">
        <x:v>Not Started</x:v>
      </x:c>
      <x:c r="J12" t="str"/>
      <x:c r="K12" t="str"/>
    </x:row>
    <x:row r="13">
      <x:c r="A13" s="35" t="str">
        <x:v>Closing Costs</x:v>
      </x:c>
      <x:c r="B13" s="48" t="n">
        <x:v>6500</x:v>
      </x:c>
      <x:c r="C13" t="str"/>
      <x:c r="D13" s="41" t="str">
        <x:v>DSCR Proxy</x:v>
      </x:c>
      <x:c r="E13" s="52" t="n">
        <x:f>IFERROR(E10/B10,0)</x:f>
        <x:v>1.1489655172413793</x:v>
      </x:c>
      <x:c r="F13" t="str">
        <x:v>Auto-calculated. Verify assumptions before using.</x:v>
      </x:c>
      <x:c r="H13" s="46" t="str">
        <x:v>Due-on-sale risk explained</x:v>
      </x:c>
      <x:c r="I13" t="str">
        <x:v>Not Started</x:v>
      </x:c>
      <x:c r="J13" t="str"/>
      <x:c r="K13" t="str"/>
    </x:row>
    <x:row r="14">
      <x:c r="A14" s="35" t="str">
        <x:v>Repairs / Make Ready</x:v>
      </x:c>
      <x:c r="B14" s="48" t="n">
        <x:v>12000</x:v>
      </x:c>
      <x:c r="C14" t="str"/>
      <x:c r="D14" s="41" t="str">
        <x:v>Decision</x:v>
      </x:c>
      <x:c r="E14" s="52" t="str">
        <x:f>IF(AND(E11&gt;200,E8&gt;0.9,B20&lt;=8,B21=1),"GO WITH ATTORNEY/TITLE REVIEW",IF(E11&gt;0,"MAYBE - RISK REVIEW","NO / RENEGOTIATE"))</x:f>
        <x:v>GO WITH ATTORNEY/TITLE REVIEW</x:v>
      </x:c>
      <x:c r="F14" t="str">
        <x:v>Auto-calculated. Verify assumptions before using.</x:v>
      </x:c>
      <x:c r="H14" s="46" t="str">
        <x:v>Escrow/reserve account planned</x:v>
      </x:c>
      <x:c r="I14" t="str">
        <x:v>Not Started</x:v>
      </x:c>
      <x:c r="J14" t="str"/>
      <x:c r="K14" t="str"/>
    </x:row>
    <x:row r="15">
      <x:c r="A15" s="35" t="str">
        <x:v>Monthly Rent</x:v>
      </x:c>
      <x:c r="B15" s="48" t="n">
        <x:v>2300</x:v>
      </x:c>
      <x:c r="C15" t="str"/>
      <x:c r="E15" s="53"/>
      <x:c r="H15" s="46" t="str">
        <x:v>Upload photos/docs</x:v>
      </x:c>
      <x:c r="I15" t="str">
        <x:v>Not Started</x:v>
      </x:c>
      <x:c r="J15" t="str"/>
      <x:c r="K15" t="str"/>
    </x:row>
    <x:row r="16">
      <x:c r="A16" s="35" t="str">
        <x:v>Other Monthly Income</x:v>
      </x:c>
      <x:c r="B16" s="48" t="n">
        <x:v>0</x:v>
      </x:c>
      <x:c r="C16" t="str"/>
      <x:c r="E16" s="53"/>
      <x:c r="H16" s="46" t="str">
        <x:v>Student notes complete</x:v>
      </x:c>
      <x:c r="I16" t="str">
        <x:v>Not Started</x:v>
      </x:c>
      <x:c r="J16" t="str"/>
      <x:c r="K16" t="str"/>
    </x:row>
    <x:row r="17">
      <x:c r="A17" s="35" t="str">
        <x:v>Monthly Operating Expenses</x:v>
      </x:c>
      <x:c r="B17" s="48" t="n">
        <x:v>450</x:v>
      </x:c>
      <x:c r="C17" t="str"/>
      <x:c r="E17" s="53"/>
      <x:c r="H17" s="46" t="str">
        <x:v>Mentor/admin review requested</x:v>
      </x:c>
      <x:c r="I17" t="str">
        <x:v>Not Started</x:v>
      </x:c>
      <x:c r="J17" t="str"/>
      <x:c r="K17" t="str"/>
    </x:row>
    <x:row r="18">
      <x:c r="A18" s="35" t="str">
        <x:v>Vacancy %</x:v>
      </x:c>
      <x:c r="B18" s="48" t="n">
        <x:v>0.08</x:v>
      </x:c>
      <x:c r="C18" t="str"/>
      <x:c r="E18" s="53"/>
    </x:row>
    <x:row r="19">
      <x:c r="A19" s="35" t="str">
        <x:v>Reserve Months</x:v>
      </x:c>
      <x:c r="B19" s="48" t="n">
        <x:v>6</x:v>
      </x:c>
      <x:c r="C19" t="str"/>
      <x:c r="E19" s="53"/>
    </x:row>
    <x:row r="20">
      <x:c r="A20" s="35" t="str">
        <x:v>Due-on-Sale Risk Score 1-10</x:v>
      </x:c>
      <x:c r="B20" s="48" t="n">
        <x:v>7</x:v>
      </x:c>
      <x:c r="C20" t="str"/>
      <x:c r="E20" s="53"/>
    </x:row>
    <x:row r="21">
      <x:c r="A21" s="35" t="str">
        <x:v>Seller Understands Loan Stays?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7">
      <x:formula1>"Not Started,In Progress,Done,N/A,Blocked"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Seller Finance / Owner Carry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Structure a seller-carry note with down payment, interest, term, amortization and balloon.</x:v>
      </x:c>
    </x:row>
    <x:row r="3">
      <x:c r="A3" s="10" t="str">
        <x:v>Level: Starter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220000</x:v>
      </x:c>
      <x:c r="C8" t="str"/>
      <x:c r="D8" s="41" t="str">
        <x:v>Monthly Principal+Interest</x:v>
      </x:c>
      <x:c r="E8" s="52" t="n">
        <x:f>IFERROR(PMT(B11/12,B12*12,-B10),0)</x:f>
        <x:v>1259.05610282078</x:v>
      </x:c>
      <x:c r="F8" t="str">
        <x:v>Auto-calculated. Verify assumptions before using.</x:v>
      </x:c>
      <x:c r="H8" s="46" t="str">
        <x:v>Promissory note terms drafted</x:v>
      </x:c>
      <x:c r="I8" t="str">
        <x:v>Not Started</x:v>
      </x:c>
      <x:c r="J8" t="str"/>
      <x:c r="K8" t="str"/>
    </x:row>
    <x:row r="9">
      <x:c r="A9" s="35" t="str">
        <x:v>Down Payment</x:v>
      </x:c>
      <x:c r="B9" s="48" t="n">
        <x:v>10000</x:v>
      </x:c>
      <x:c r="C9" t="str"/>
      <x:c r="D9" s="41" t="str">
        <x:v>Total Monthly Debt/PITI</x:v>
      </x:c>
      <x:c r="E9" s="52" t="n">
        <x:f>E8+B14</x:f>
        <x:v>1609.05610282078</x:v>
      </x:c>
      <x:c r="F9" t="str">
        <x:v>Auto-calculated. Verify assumptions before using.</x:v>
      </x:c>
      <x:c r="H9" s="46" t="str">
        <x:v>Mortgage/deed of trust security planned</x:v>
      </x:c>
      <x:c r="I9" t="str">
        <x:v>Not Started</x:v>
      </x:c>
      <x:c r="J9" t="str"/>
      <x:c r="K9" t="str"/>
    </x:row>
    <x:row r="10">
      <x:c r="A10" s="35" t="str">
        <x:v>Seller Carry Principal</x:v>
      </x:c>
      <x:c r="B10" s="48" t="n">
        <x:v>210000</x:v>
      </x:c>
      <x:c r="C10" t="str"/>
      <x:c r="D10" s="41" t="str">
        <x:v>Annual NOI</x:v>
      </x:c>
      <x:c r="E10" s="52" t="n">
        <x:f>((B15*12)*(1-B17))-(B16*12)</x:f>
        <x:v>20496</x:v>
      </x:c>
      <x:c r="F10" t="str">
        <x:v>Auto-calculated. Verify assumptions before using.</x:v>
      </x:c>
      <x:c r="H10" s="46" t="str">
        <x:v>Balloon date calendar set</x:v>
      </x:c>
      <x:c r="I10" t="str">
        <x:v>Not Started</x:v>
      </x:c>
      <x:c r="J10" t="str"/>
      <x:c r="K10" t="str"/>
    </x:row>
    <x:row r="11">
      <x:c r="A11" s="35" t="str">
        <x:v>Interest Rate</x:v>
      </x:c>
      <x:c r="B11" s="48" t="n">
        <x:v>0.06</x:v>
      </x:c>
      <x:c r="C11" t="str"/>
      <x:c r="D11" s="41" t="str">
        <x:v>DSCR</x:v>
      </x:c>
      <x:c r="E11" s="52" t="n">
        <x:f>IFERROR(E10/(E9*12),0)</x:f>
        <x:v>1.0614918877009725</x:v>
      </x:c>
      <x:c r="F11" t="str">
        <x:v>Auto-calculated. Verify assumptions before using.</x:v>
      </x:c>
      <x:c r="H11" s="46" t="str">
        <x:v>Ability-to-repay/legal review if consumer dwelling</x:v>
      </x:c>
      <x:c r="I11" t="str">
        <x:v>Not Started</x:v>
      </x:c>
      <x:c r="J11" t="str"/>
      <x:c r="K11" t="str"/>
    </x:row>
    <x:row r="12">
      <x:c r="A12" s="35" t="str">
        <x:v>Amortization Years</x:v>
      </x:c>
      <x:c r="B12" s="48" t="n">
        <x:v>30</x:v>
      </x:c>
      <x:c r="C12" t="str"/>
      <x:c r="D12" s="41" t="str">
        <x:v>Cash Needed</x:v>
      </x:c>
      <x:c r="E12" s="52" t="n">
        <x:f>B9+B18+B19</x:f>
        <x:v>27000</x:v>
      </x:c>
      <x:c r="F12" t="str">
        <x:v>Auto-calculated. Verify assumptions before using.</x:v>
      </x:c>
      <x:c r="H12" s="46" t="str">
        <x:v>Insurance/taxes responsibility clear</x:v>
      </x:c>
      <x:c r="I12" t="str">
        <x:v>Not Started</x:v>
      </x:c>
      <x:c r="J12" t="str"/>
      <x:c r="K12" t="str"/>
    </x:row>
    <x:row r="13">
      <x:c r="A13" s="35" t="str">
        <x:v>Balloon Years</x:v>
      </x:c>
      <x:c r="B13" s="48" t="n">
        <x:v>5</x:v>
      </x:c>
      <x:c r="C13" t="str"/>
      <x:c r="D13" s="41" t="str">
        <x:v>Cash-on-Cash</x:v>
      </x:c>
      <x:c r="E13" s="52" t="n">
        <x:f>IFERROR(((E10-(E9*12))/E12),0)</x:f>
        <x:v>0.04397506541298666</x:v>
      </x:c>
      <x:c r="F13" t="str">
        <x:v>Auto-calculated. Verify assumptions before using.</x:v>
      </x:c>
      <x:c r="H13" s="46" t="str">
        <x:v>Servicing/escrow agreed</x:v>
      </x:c>
      <x:c r="I13" t="str">
        <x:v>Not Started</x:v>
      </x:c>
      <x:c r="J13" t="str"/>
      <x:c r="K13" t="str"/>
    </x:row>
    <x:row r="14">
      <x:c r="A14" s="35" t="str">
        <x:v>Monthly Taxes/Ins</x:v>
      </x:c>
      <x:c r="B14" s="48" t="n">
        <x:v>350</x:v>
      </x:c>
      <x:c r="C14" t="str"/>
      <x:c r="D14" s="41" t="str">
        <x:v>Decision</x:v>
      </x:c>
      <x:c r="E14" s="52" t="str">
        <x:f>IF(OR(B20=1,B21=1),"LEGAL / LOAN ORIGINATOR REVIEW",IF(AND(E11&gt;=1.15,E13&gt;=0.08),"GO",IF(E11&gt;=1,"MAYBE - IMPROVE TERMS","NO")))</x:f>
        <x:v>MAYBE - IMPROVE TERMS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Rent</x:v>
      </x:c>
      <x:c r="B15" s="48" t="n">
        <x:v>2400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Operating Expenses</x:v>
      </x:c>
      <x:c r="B16" s="48" t="n">
        <x:v>500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Vacancy %</x:v>
      </x:c>
      <x:c r="B17" s="48" t="n">
        <x:v>0.08</x:v>
      </x:c>
      <x:c r="C17" t="str"/>
      <x:c r="E17" s="53"/>
    </x:row>
    <x:row r="18">
      <x:c r="A18" s="35" t="str">
        <x:v>Closing Costs</x:v>
      </x:c>
      <x:c r="B18" s="48" t="n">
        <x:v>7000</x:v>
      </x:c>
      <x:c r="C18" t="str"/>
      <x:c r="E18" s="53"/>
    </x:row>
    <x:row r="19">
      <x:c r="A19" s="35" t="str">
        <x:v>Repairs</x:v>
      </x:c>
      <x:c r="B19" s="48" t="n">
        <x:v>10000</x:v>
      </x:c>
      <x:c r="C19" t="str"/>
      <x:c r="E19" s="53"/>
    </x:row>
    <x:row r="20">
      <x:c r="A20" s="35" t="str">
        <x:v>Buyer Uses as Primary Residence? Yes=1</x:v>
      </x:c>
      <x:c r="B20" s="48" t="n">
        <x:v>0</x:v>
      </x:c>
      <x:c r="C20" t="str"/>
      <x:c r="E20" s="53"/>
    </x:row>
    <x:row r="21">
      <x:c r="A21" s="35" t="str">
        <x:v>Seller Financed &gt;3 This Year? Yes=1</x:v>
      </x:c>
      <x:c r="B21" s="48" t="n">
        <x:v>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Wraparound Mortgage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a seller-financed wrap where an underlying mortgage remains and buyer pays seller a larger payment.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Sale Price / Wrap Principal</x:v>
      </x:c>
      <x:c r="B8" s="48" t="n">
        <x:v>240000</x:v>
      </x:c>
      <x:c r="C8" t="str"/>
      <x:c r="D8" s="41" t="str">
        <x:v>Buyer Monthly PI</x:v>
      </x:c>
      <x:c r="E8" s="52" t="n">
        <x:f>IFERROR(PMT(B12/12,B13*12,-B8),0)</x:f>
        <x:v>1678.11482052667</x:v>
      </x:c>
      <x:c r="F8" t="str">
        <x:v>Auto-calculated. Verify assumptions before using.</x:v>
      </x:c>
      <x:c r="H8" s="46" t="str">
        <x:v>Underlying mortgage reviewed</x:v>
      </x:c>
      <x:c r="I8" t="str">
        <x:v>Not Started</x:v>
      </x:c>
      <x:c r="J8" t="str"/>
      <x:c r="K8" t="str"/>
    </x:row>
    <x:row r="9">
      <x:c r="A9" s="35" t="str">
        <x:v>Underlying Loan Balance</x:v>
      </x:c>
      <x:c r="B9" s="48" t="n">
        <x:v>180000</x:v>
      </x:c>
      <x:c r="C9" t="str"/>
      <x:c r="D9" s="41" t="str">
        <x:v>Spread to Seller</x:v>
      </x:c>
      <x:c r="E9" s="52" t="n">
        <x:f>E8-B11</x:f>
        <x:v>478.11482052667</x:v>
      </x:c>
      <x:c r="F9" t="str">
        <x:v>Auto-calculated. Verify assumptions before using.</x:v>
      </x:c>
      <x:c r="H9" s="46" t="str">
        <x:v>Due-on-sale risk disclosed</x:v>
      </x:c>
      <x:c r="I9" t="str">
        <x:v>Not Started</x:v>
      </x:c>
      <x:c r="J9" t="str"/>
      <x:c r="K9" t="str"/>
    </x:row>
    <x:row r="10">
      <x:c r="A10" s="35" t="str">
        <x:v>Underlying Interest Rate</x:v>
      </x:c>
      <x:c r="B10" s="48" t="n">
        <x:v>0.035</x:v>
      </x:c>
      <x:c r="C10" t="str"/>
      <x:c r="D10" s="41" t="str">
        <x:v>Monthly Net Before Debt</x:v>
      </x:c>
      <x:c r="E10" s="52" t="n">
        <x:f>B15-(B15*B17)-B16</x:f>
        <x:v>1842</x:v>
      </x:c>
      <x:c r="F10" t="str">
        <x:v>Auto-calculated. Verify assumptions before using.</x:v>
      </x:c>
      <x:c r="H10" s="46" t="str">
        <x:v>Loan servicing company used</x:v>
      </x:c>
      <x:c r="I10" t="str">
        <x:v>Not Started</x:v>
      </x:c>
      <x:c r="J10" t="str"/>
      <x:c r="K10" t="str"/>
    </x:row>
    <x:row r="11">
      <x:c r="A11" s="35" t="str">
        <x:v>Underlying Monthly Payment</x:v>
      </x:c>
      <x:c r="B11" s="48" t="n">
        <x:v>1200</x:v>
      </x:c>
      <x:c r="C11" t="str"/>
      <x:c r="D11" s="41" t="str">
        <x:v>Buyer Monthly Cash Flow</x:v>
      </x:c>
      <x:c r="E11" s="52" t="n">
        <x:f>E10-E8</x:f>
        <x:v>163.88517947333003</x:v>
      </x:c>
      <x:c r="F11" t="str">
        <x:v>Auto-calculated. Verify assumptions before using.</x:v>
      </x:c>
      <x:c r="H11" s="46" t="str">
        <x:v>Seller/buyer default remedies written</x:v>
      </x:c>
      <x:c r="I11" t="str">
        <x:v>Not Started</x:v>
      </x:c>
      <x:c r="J11" t="str"/>
      <x:c r="K11" t="str"/>
    </x:row>
    <x:row r="12">
      <x:c r="A12" s="35" t="str">
        <x:v>Buyer Interest Rate</x:v>
      </x:c>
      <x:c r="B12" s="48" t="n">
        <x:v>0.075</x:v>
      </x:c>
      <x:c r="C12" t="str"/>
      <x:c r="D12" s="41" t="str">
        <x:v>Seller Gross Spread Annual</x:v>
      </x:c>
      <x:c r="E12" s="52" t="n">
        <x:f>E9*12</x:f>
        <x:v>5737.37784632004</x:v>
      </x:c>
      <x:c r="F12" t="str">
        <x:v>Auto-calculated. Verify assumptions before using.</x:v>
      </x:c>
      <x:c r="H12" s="46" t="str">
        <x:v>Escrow for taxes/insurance</x:v>
      </x:c>
      <x:c r="I12" t="str">
        <x:v>Not Started</x:v>
      </x:c>
      <x:c r="J12" t="str"/>
      <x:c r="K12" t="str"/>
    </x:row>
    <x:row r="13">
      <x:c r="A13" s="35" t="str">
        <x:v>Amortization Years</x:v>
      </x:c>
      <x:c r="B13" s="48" t="n">
        <x:v>30</x:v>
      </x:c>
      <x:c r="C13" t="str"/>
      <x:c r="D13" s="41" t="str">
        <x:v>Buyer Cash Needed</x:v>
      </x:c>
      <x:c r="E13" s="52" t="n">
        <x:f>B14+B18+B19</x:f>
        <x:v>28000</x:v>
      </x:c>
      <x:c r="F13" t="str">
        <x:v>Auto-calculated. Verify assumptions before using.</x:v>
      </x:c>
      <x:c r="H13" s="46" t="str">
        <x:v>Title insurance and closing attorney</x:v>
      </x:c>
      <x:c r="I13" t="str">
        <x:v>Not Started</x:v>
      </x:c>
      <x:c r="J13" t="str"/>
      <x:c r="K13" t="str"/>
    </x:row>
    <x:row r="14">
      <x:c r="A14" s="35" t="str">
        <x:v>Down Payment</x:v>
      </x:c>
      <x:c r="B14" s="48" t="n">
        <x:v>15000</x:v>
      </x:c>
      <x:c r="C14" t="str"/>
      <x:c r="D14" s="41" t="str">
        <x:v>Decision</x:v>
      </x:c>
      <x:c r="E14" s="52" t="str">
        <x:f>IF(OR(B20=1,B21=0),"HIGH RISK - ATTORNEY/SERVICING REVIEW",IF(E11&gt;200,"GO","NO / RENEGOTIATE"))</x:f>
        <x:v>HIGH RISK - ATTORNEY/SERVICING REVIEW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Rent</x:v>
      </x:c>
      <x:c r="B15" s="48" t="n">
        <x:v>2600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Expenses</x:v>
      </x:c>
      <x:c r="B16" s="48" t="n">
        <x:v>550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Vacancy %</x:v>
      </x:c>
      <x:c r="B17" s="48" t="n">
        <x:v>0.08</x:v>
      </x:c>
      <x:c r="C17" t="str"/>
      <x:c r="E17" s="53"/>
    </x:row>
    <x:row r="18">
      <x:c r="A18" s="35" t="str">
        <x:v>Closing Costs</x:v>
      </x:c>
      <x:c r="B18" s="48" t="n">
        <x:v>8000</x:v>
      </x:c>
      <x:c r="C18" t="str"/>
      <x:c r="E18" s="53"/>
    </x:row>
    <x:row r="19">
      <x:c r="A19" s="35" t="str">
        <x:v>Repairs</x:v>
      </x:c>
      <x:c r="B19" s="48" t="n">
        <x:v>5000</x:v>
      </x:c>
      <x:c r="C19" t="str"/>
      <x:c r="E19" s="53"/>
    </x:row>
    <x:row r="20">
      <x:c r="A20" s="35" t="str">
        <x:v>Underlying Due-on-Sale Clause? Yes=1</x:v>
      </x:c>
      <x:c r="B20" s="48" t="n">
        <x:v>1</x:v>
      </x:c>
      <x:c r="C20" t="str"/>
      <x:c r="E20" s="53"/>
    </x:row>
    <x:row r="21">
      <x:c r="A21" s="35" t="str">
        <x:v>Third-party loan servicing?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Hybrid Subject-To + Seller Finance Stack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Stack existing debt with new seller carryback or cash-to-seller terms.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ARV / Value</x:v>
      </x:c>
      <x:c r="B8" s="48" t="n">
        <x:v>300000</x:v>
      </x:c>
      <x:c r="C8" t="str"/>
      <x:c r="D8" s="41" t="str">
        <x:v>Seller Carry Payment</x:v>
      </x:c>
      <x:c r="E8" s="52" t="n">
        <x:f>IFERROR(PMT(B12/12,B13*12,-B11),0)</x:f>
        <x:v>263.98229568666295</x:v>
      </x:c>
      <x:c r="F8" t="str">
        <x:v>Auto-calculated. Verify assumptions before using.</x:v>
      </x:c>
      <x:c r="H8" s="46" t="str">
        <x:v>All debt layers mapped</x:v>
      </x:c>
      <x:c r="I8" t="str">
        <x:v>Not Started</x:v>
      </x:c>
      <x:c r="J8" t="str"/>
      <x:c r="K8" t="str"/>
    </x:row>
    <x:row r="9">
      <x:c r="A9" s="35" t="str">
        <x:v>Existing Loan Balance</x:v>
      </x:c>
      <x:c r="B9" s="48" t="n">
        <x:v>190000</x:v>
      </x:c>
      <x:c r="C9" t="str"/>
      <x:c r="D9" s="41" t="str">
        <x:v>Total Monthly Debt</x:v>
      </x:c>
      <x:c r="E9" s="52" t="n">
        <x:f>B10+E8</x:f>
        <x:v>1663.9822956866628</x:v>
      </x:c>
      <x:c r="F9" t="str">
        <x:v>Auto-calculated. Verify assumptions before using.</x:v>
      </x:c>
      <x:c r="H9" s="46" t="str">
        <x:v>Payment waterfall written</x:v>
      </x:c>
      <x:c r="I9" t="str">
        <x:v>Not Started</x:v>
      </x:c>
      <x:c r="J9" t="str"/>
      <x:c r="K9" t="str"/>
    </x:row>
    <x:row r="10">
      <x:c r="A10" s="35" t="str">
        <x:v>Existing Monthly PITI</x:v>
      </x:c>
      <x:c r="B10" s="48" t="n">
        <x:v>1400</x:v>
      </x:c>
      <x:c r="C10" t="str"/>
      <x:c r="D10" s="41" t="str">
        <x:v>Monthly NOI Before Debt</x:v>
      </x:c>
      <x:c r="E10" s="52" t="n">
        <x:f>B16-(B16*B18)-B17</x:f>
        <x:v>-10488000</x:v>
      </x:c>
      <x:c r="F10" t="str">
        <x:v>Auto-calculated. Verify assumptions before using.</x:v>
      </x:c>
      <x:c r="H10" s="46" t="str">
        <x:v>Seller understands existing loan remains</x:v>
      </x:c>
      <x:c r="I10" t="str">
        <x:v>Not Started</x:v>
      </x:c>
      <x:c r="J10" t="str"/>
      <x:c r="K10" t="str"/>
    </x:row>
    <x:row r="11">
      <x:c r="A11" s="35" t="str">
        <x:v>Seller Carry Amount</x:v>
      </x:c>
      <x:c r="B11" s="48" t="n">
        <x:v>40000</x:v>
      </x:c>
      <x:c r="C11" t="str"/>
      <x:c r="D11" s="41" t="str">
        <x:v>Monthly Cash Flow</x:v>
      </x:c>
      <x:c r="E11" s="52" t="n">
        <x:f>E10-E9</x:f>
        <x:v>-10489663.982295686</x:v>
      </x:c>
      <x:c r="F11" t="str">
        <x:v>Auto-calculated. Verify assumptions before using.</x:v>
      </x:c>
      <x:c r="H11" s="46" t="str">
        <x:v>Servicing for both notes</x:v>
      </x:c>
      <x:c r="I11" t="str">
        <x:v>Not Started</x:v>
      </x:c>
      <x:c r="J11" t="str"/>
      <x:c r="K11" t="str"/>
    </x:row>
    <x:row r="12">
      <x:c r="A12" s="35" t="str">
        <x:v>Seller Carry Interest Rate</x:v>
      </x:c>
      <x:c r="B12" s="48" t="n">
        <x:v>0.05</x:v>
      </x:c>
      <x:c r="C12" t="str"/>
      <x:c r="D12" s="41" t="str">
        <x:v>Cash Needed</x:v>
      </x:c>
      <x:c r="E12" s="52" t="n">
        <x:f>SUM(B14:B15)+B9</x:f>
        <x:v>203000</x:v>
      </x:c>
      <x:c r="F12" t="str">
        <x:v>Auto-calculated. Verify assumptions before using.</x:v>
      </x:c>
      <x:c r="H12" s="46" t="str">
        <x:v>Attorney review before offer</x:v>
      </x:c>
      <x:c r="I12" t="str">
        <x:v>Not Started</x:v>
      </x:c>
      <x:c r="J12" t="str"/>
      <x:c r="K12" t="str"/>
    </x:row>
    <x:row r="13">
      <x:c r="A13" s="35" t="str">
        <x:v>Carry Amortization Years</x:v>
      </x:c>
      <x:c r="B13" s="48" t="n">
        <x:v>20</x:v>
      </x:c>
      <x:c r="C13" t="str"/>
      <x:c r="D13" s="41" t="str">
        <x:v>Total Debt to Value</x:v>
      </x:c>
      <x:c r="E13" s="52" t="n">
        <x:f>IFERROR((B9+B11)/B8,0)</x:f>
        <x:v>0.7666666666666667</x:v>
      </x:c>
      <x:c r="F13" t="str">
        <x:v>Auto-calculated. Verify assumptions before using.</x:v>
      </x:c>
      <x:c r="H13" s="46" t="str">
        <x:v>Exit/refinance plan</x:v>
      </x:c>
      <x:c r="I13" t="str">
        <x:v>Not Started</x:v>
      </x:c>
      <x:c r="J13" t="str"/>
      <x:c r="K13" t="str"/>
    </x:row>
    <x:row r="14">
      <x:c r="A14" s="35" t="str">
        <x:v>Seller Cash Now</x:v>
      </x:c>
      <x:c r="B14" s="48" t="n">
        <x:v>5000</x:v>
      </x:c>
      <x:c r="C14" t="str"/>
      <x:c r="D14" s="41" t="str">
        <x:v>Decision</x:v>
      </x:c>
      <x:c r="E14" s="52" t="str">
        <x:f>IF(AND(E11&gt;250,E13&lt;0.85,B20&lt;=7),"GO",IF(E11&gt;0,"MAYBE - SIMPLIFY TERMS","NO"))</x:f>
        <x:v>NO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Closing Costs</x:v>
      </x:c>
      <x:c r="B15" s="48" t="n">
        <x:v>8000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Repairs</x:v>
      </x:c>
      <x:c r="B16" s="48" t="n">
        <x:v>15000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Monthly Rent</x:v>
      </x:c>
      <x:c r="B17" s="48" t="n">
        <x:v>3000</x:v>
      </x:c>
      <x:c r="C17" t="str"/>
      <x:c r="E17" s="53"/>
    </x:row>
    <x:row r="18">
      <x:c r="A18" s="35" t="str">
        <x:v>Monthly Expenses</x:v>
      </x:c>
      <x:c r="B18" s="48" t="n">
        <x:v>700</x:v>
      </x:c>
      <x:c r="C18" t="str"/>
      <x:c r="E18" s="53"/>
    </x:row>
    <x:row r="19">
      <x:c r="A19" s="35" t="str">
        <x:v>Vacancy %</x:v>
      </x:c>
      <x:c r="B19" s="48" t="n">
        <x:v>0.08</x:v>
      </x:c>
      <x:c r="C19" t="str"/>
      <x:c r="E19" s="53"/>
    </x:row>
    <x:row r="20">
      <x:c r="A20" s="35" t="str">
        <x:v>Reserve Months</x:v>
      </x:c>
      <x:c r="B20" s="48" t="n">
        <x:v>6</x:v>
      </x:c>
      <x:c r="C20" t="str"/>
      <x:c r="E20" s="53"/>
    </x:row>
    <x:row r="21">
      <x:c r="A21" s="35" t="str">
        <x:v>Legal Complexity Score 1-10</x:v>
      </x:c>
      <x:c r="B21" s="48" t="n">
        <x:v>8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Lease Option / Rent-to-Own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control through a lease with option to buy.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Option Price</x:v>
      </x:c>
      <x:c r="B8" s="48" t="n">
        <x:v>220000</x:v>
      </x:c>
      <x:c r="C8" t="str"/>
      <x:c r="D8" s="41" t="str">
        <x:v>Monthly Spread</x:v>
      </x:c>
      <x:c r="E8" s="52" t="n">
        <x:f>B13-B12-B14-B15</x:f>
        <x:v>350</x:v>
      </x:c>
      <x:c r="F8" t="str">
        <x:v>Auto-calculated. Verify assumptions before using.</x:v>
      </x:c>
      <x:c r="H8" s="46" t="str">
        <x:v>Lease agreement reviewed</x:v>
      </x:c>
      <x:c r="I8" t="str">
        <x:v>Not Started</x:v>
      </x:c>
      <x:c r="J8" t="str"/>
      <x:c r="K8" t="str"/>
    </x:row>
    <x:row r="9">
      <x:c r="A9" s="35" t="str">
        <x:v>Current Value</x:v>
      </x:c>
      <x:c r="B9" s="48" t="n">
        <x:v>215000</x:v>
      </x:c>
      <x:c r="C9" t="str"/>
      <x:c r="D9" s="41" t="str">
        <x:v>Total Spread Over Term</x:v>
      </x:c>
      <x:c r="E9" s="52" t="n">
        <x:f>E8*B16</x:f>
        <x:v>8400</x:v>
      </x:c>
      <x:c r="F9" t="str">
        <x:v>Auto-calculated. Verify assumptions before using.</x:v>
      </x:c>
      <x:c r="H9" s="46" t="str">
        <x:v>Option agreement separate/clear</x:v>
      </x:c>
      <x:c r="I9" t="str">
        <x:v>Not Started</x:v>
      </x:c>
      <x:c r="J9" t="str"/>
      <x:c r="K9" t="str"/>
    </x:row>
    <x:row r="10">
      <x:c r="A10" s="35" t="str">
        <x:v>Expected Future Value</x:v>
      </x:c>
      <x:c r="B10" s="48" t="n">
        <x:v>250000</x:v>
      </x:c>
      <x:c r="C10" t="str"/>
      <x:c r="D10" s="41" t="str">
        <x:v>Built-in Equity Now</x:v>
      </x:c>
      <x:c r="E10" s="52" t="n">
        <x:f>B9-B8</x:f>
        <x:v>-5000</x:v>
      </x:c>
      <x:c r="F10" t="str">
        <x:v>Auto-calculated. Verify assumptions before using.</x:v>
      </x:c>
      <x:c r="H10" s="46" t="str">
        <x:v>Assignment rights written</x:v>
      </x:c>
      <x:c r="I10" t="str">
        <x:v>Not Started</x:v>
      </x:c>
      <x:c r="J10" t="str"/>
      <x:c r="K10" t="str"/>
    </x:row>
    <x:row r="11">
      <x:c r="A11" s="35" t="str">
        <x:v>Option Fee Paid</x:v>
      </x:c>
      <x:c r="B11" s="48" t="n">
        <x:v>3000</x:v>
      </x:c>
      <x:c r="C11" t="str"/>
      <x:c r="D11" s="41" t="str">
        <x:v>Projected Equity at Exercise</x:v>
      </x:c>
      <x:c r="E11" s="52" t="n">
        <x:f>B10-B8-B18</x:f>
        <x:v>23000</x:v>
      </x:c>
      <x:c r="F11" t="str">
        <x:v>Auto-calculated. Verify assumptions before using.</x:v>
      </x:c>
      <x:c r="H11" s="46" t="str">
        <x:v>Rent credit language reviewed</x:v>
      </x:c>
      <x:c r="I11" t="str">
        <x:v>Not Started</x:v>
      </x:c>
      <x:c r="J11" t="str"/>
      <x:c r="K11" t="str"/>
    </x:row>
    <x:row r="12">
      <x:c r="A12" s="35" t="str">
        <x:v>Monthly Rent to Seller</x:v>
      </x:c>
      <x:c r="B12" s="48" t="n">
        <x:v>1500</x:v>
      </x:c>
      <x:c r="C12" t="str"/>
      <x:c r="D12" s="41" t="str">
        <x:v>Total Potential Profit</x:v>
      </x:c>
      <x:c r="E12" s="52" t="n">
        <x:f>E9+E11+B19</x:f>
        <x:v>41400</x:v>
      </x:c>
      <x:c r="F12" t="str">
        <x:v>Auto-calculated. Verify assumptions before using.</x:v>
      </x:c>
      <x:c r="H12" s="46" t="str">
        <x:v>Tenant-buyer disclosures</x:v>
      </x:c>
      <x:c r="I12" t="str">
        <x:v>Not Started</x:v>
      </x:c>
      <x:c r="J12" t="str"/>
      <x:c r="K12" t="str"/>
    </x:row>
    <x:row r="13">
      <x:c r="A13" s="35" t="str">
        <x:v>Market Rent / Tenant Buyer Rent</x:v>
      </x:c>
      <x:c r="B13" s="48" t="n">
        <x:v>2100</x:v>
      </x:c>
      <x:c r="C13" t="str"/>
      <x:c r="D13" s="41" t="str">
        <x:v>Break-even Months</x:v>
      </x:c>
      <x:c r="E13" s="52" t="n">
        <x:f>IFERROR(B11/MAX(E8,1),0)</x:f>
        <x:v>8.571428571428571</x:v>
      </x:c>
      <x:c r="F13" t="str">
        <x:v>Auto-calculated. Verify assumptions before using.</x:v>
      </x:c>
      <x:c r="H13" s="46" t="str">
        <x:v>Default/cancellation terms clear</x:v>
      </x:c>
      <x:c r="I13" t="str">
        <x:v>Not Started</x:v>
      </x:c>
      <x:c r="J13" t="str"/>
      <x:c r="K13" t="str"/>
    </x:row>
    <x:row r="14">
      <x:c r="A14" s="35" t="str">
        <x:v>Monthly Maintenance Reserve</x:v>
      </x:c>
      <x:c r="B14" s="48" t="n">
        <x:v>150</x:v>
      </x:c>
      <x:c r="C14" t="str"/>
      <x:c r="D14" s="41" t="str">
        <x:v>Decision</x:v>
      </x:c>
      <x:c r="E14" s="52" t="str">
        <x:f>IF(AND(E8&gt;250,B17=1,B20=1),"GO",IF(E8&gt;0,"MAYBE - VERIFY COMPLIANCE","NO"))</x:f>
        <x:v>MAYBE - VERIFY COMPLIANCE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Management</x:v>
      </x:c>
      <x:c r="B15" s="48" t="n">
        <x:v>100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Option Term Months</x:v>
      </x:c>
      <x:c r="B16" s="48" t="n">
        <x:v>24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Rent Credit Monthly</x:v>
      </x:c>
      <x:c r="B17" s="48" t="n">
        <x:v>200</x:v>
      </x:c>
      <x:c r="C17" t="str"/>
      <x:c r="E17" s="53"/>
    </x:row>
    <x:row r="18">
      <x:c r="A18" s="35" t="str">
        <x:v>Closing Costs at Exercise</x:v>
      </x:c>
      <x:c r="B18" s="48" t="n">
        <x:v>7000</x:v>
      </x:c>
      <x:c r="C18" t="str"/>
      <x:c r="E18" s="53"/>
    </x:row>
    <x:row r="19">
      <x:c r="A19" s="35" t="str">
        <x:v>Assignment Fee Potential</x:v>
      </x:c>
      <x:c r="B19" s="48" t="n">
        <x:v>10000</x:v>
      </x:c>
      <x:c r="C19" t="str"/>
      <x:c r="E19" s="53"/>
    </x:row>
    <x:row r="20">
      <x:c r="A20" s="35" t="str">
        <x:v>Seller Consent to Assignment? Yes=1</x:v>
      </x:c>
      <x:c r="B20" s="48" t="n">
        <x:v>1</x:v>
      </x:c>
      <x:c r="C20" t="str"/>
      <x:c r="E20" s="53"/>
    </x:row>
    <x:row r="21">
      <x:c r="A21" s="35" t="str">
        <x:v>Tenant-Buyer Compliance Review?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Sandwich Lease Option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leasing from seller and subleasing/optioning to tenant-buyer.</x:v>
      </x:c>
    </x:row>
    <x:row r="3">
      <x:c r="A3" s="10" t="str">
        <x:v>Level: Intermediate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Seller Lease Payment</x:v>
      </x:c>
      <x:c r="B8" s="48" t="n">
        <x:v>1500</x:v>
      </x:c>
      <x:c r="C8" t="str"/>
      <x:c r="D8" s="41" t="str">
        <x:v>Monthly Gross Spread</x:v>
      </x:c>
      <x:c r="E8" s="52" t="n">
        <x:f>B9-B8</x:f>
        <x:v>800</x:v>
      </x:c>
      <x:c r="F8" t="str">
        <x:v>Auto-calculated. Verify assumptions before using.</x:v>
      </x:c>
      <x:c r="H8" s="46" t="str">
        <x:v>Sublease allowed</x:v>
      </x:c>
      <x:c r="I8" t="str">
        <x:v>Not Started</x:v>
      </x:c>
      <x:c r="J8" t="str"/>
      <x:c r="K8" t="str"/>
    </x:row>
    <x:row r="9">
      <x:c r="A9" s="35" t="str">
        <x:v>Tenant-Buyer Rent</x:v>
      </x:c>
      <x:c r="B9" s="48" t="n">
        <x:v>2300</x:v>
      </x:c>
      <x:c r="C9" t="str"/>
      <x:c r="D9" s="41" t="str">
        <x:v>Monthly Net Spread</x:v>
      </x:c>
      <x:c r="E9" s="52" t="n">
        <x:f>(B9-B8)-B15-(B9*B16)</x:f>
        <x:v>370</x:v>
      </x:c>
      <x:c r="F9" t="str">
        <x:v>Auto-calculated. Verify assumptions before using.</x:v>
      </x:c>
      <x:c r="H9" s="46" t="str">
        <x:v>Option and lease written separately</x:v>
      </x:c>
      <x:c r="I9" t="str">
        <x:v>Not Started</x:v>
      </x:c>
      <x:c r="J9" t="str"/>
      <x:c r="K9" t="str"/>
    </x:row>
    <x:row r="10">
      <x:c r="A10" s="35" t="str">
        <x:v>Seller Option Price</x:v>
      </x:c>
      <x:c r="B10" s="48" t="n">
        <x:v>220000</x:v>
      </x:c>
      <x:c r="C10" t="str"/>
      <x:c r="D10" s="41" t="str">
        <x:v>Upfront Net Option Fee</x:v>
      </x:c>
      <x:c r="E10" s="52" t="n">
        <x:f>B12-B13</x:f>
        <x:v>6000</x:v>
      </x:c>
      <x:c r="F10" t="str">
        <x:v>Auto-calculated. Verify assumptions before using.</x:v>
      </x:c>
      <x:c r="H10" s="46" t="str">
        <x:v>Tenant-buyer screened</x:v>
      </x:c>
      <x:c r="I10" t="str">
        <x:v>Not Started</x:v>
      </x:c>
      <x:c r="J10" t="str"/>
      <x:c r="K10" t="str"/>
    </x:row>
    <x:row r="11">
      <x:c r="A11" s="35" t="str">
        <x:v>Tenant-Buyer Option Price</x:v>
      </x:c>
      <x:c r="B11" s="48" t="n">
        <x:v>250000</x:v>
      </x:c>
      <x:c r="C11" t="str"/>
      <x:c r="D11" s="41" t="str">
        <x:v>Back-End Spread</x:v>
      </x:c>
      <x:c r="E11" s="52" t="n">
        <x:f>B11-B10</x:f>
        <x:v>30000</x:v>
      </x:c>
      <x:c r="F11" t="str">
        <x:v>Auto-calculated. Verify assumptions before using.</x:v>
      </x:c>
      <x:c r="H11" s="46" t="str">
        <x:v>State rent-to-own rules reviewed</x:v>
      </x:c>
      <x:c r="I11" t="str">
        <x:v>Not Started</x:v>
      </x:c>
      <x:c r="J11" t="str"/>
      <x:c r="K11" t="str"/>
    </x:row>
    <x:row r="12">
      <x:c r="A12" s="35" t="str">
        <x:v>Option Fee From Tenant-Buyer</x:v>
      </x:c>
      <x:c r="B12" s="48" t="n">
        <x:v>8000</x:v>
      </x:c>
      <x:c r="C12" t="str"/>
      <x:c r="D12" s="41" t="str">
        <x:v>Total Potential Profit</x:v>
      </x:c>
      <x:c r="E12" s="52" t="n">
        <x:f>E8*B14+E9+E10</x:f>
        <x:v>25570</x:v>
      </x:c>
      <x:c r="F12" t="str">
        <x:v>Auto-calculated. Verify assumptions before using.</x:v>
      </x:c>
      <x:c r="H12" s="46" t="str">
        <x:v>Insurance/landlord approval</x:v>
      </x:c>
      <x:c r="I12" t="str">
        <x:v>Not Started</x:v>
      </x:c>
      <x:c r="J12" t="str"/>
      <x:c r="K12" t="str"/>
    </x:row>
    <x:row r="13">
      <x:c r="A13" s="35" t="str">
        <x:v>Option Fee Paid to Seller</x:v>
      </x:c>
      <x:c r="B13" s="48" t="n">
        <x:v>2000</x:v>
      </x:c>
      <x:c r="C13" t="str"/>
      <x:c r="D13" s="41" t="str">
        <x:v>Compliance Gate</x:v>
      </x:c>
      <x:c r="E13" s="52" t="str">
        <x:f>IF(AND(B17=1,B18=1,B19=1,B20=1),"PASS","FAIL")</x:f>
        <x:v>PASS</x:v>
      </x:c>
      <x:c r="F13" t="str">
        <x:v>Auto-calculated. Verify assumptions before using.</x:v>
      </x:c>
      <x:c r="H13" s="46" t="str">
        <x:v>Exit if tenant defaults</x:v>
      </x:c>
      <x:c r="I13" t="str">
        <x:v>Not Started</x:v>
      </x:c>
      <x:c r="J13" t="str"/>
      <x:c r="K13" t="str"/>
    </x:row>
    <x:row r="14">
      <x:c r="A14" s="35" t="str">
        <x:v>Term Months</x:v>
      </x:c>
      <x:c r="B14" s="48" t="n">
        <x:v>24</x:v>
      </x:c>
      <x:c r="C14" t="str"/>
      <x:c r="D14" s="41" t="str">
        <x:v>Decision</x:v>
      </x:c>
      <x:c r="E14" s="52" t="str">
        <x:f>IF(AND(E8&gt;250,E12="PASS",B21&gt;=7),"GO",IF(E8&gt;0,"MAYBE","NO"))</x:f>
        <x:v>MAYBE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Maintenance Reserve</x:v>
      </x:c>
      <x:c r="B15" s="48" t="n">
        <x:v>200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Vacancy/Default Reserve %</x:v>
      </x:c>
      <x:c r="B16" s="48" t="n">
        <x:v>0.1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Legal/Compliance Review Yes=1</x:v>
      </x:c>
      <x:c r="B17" s="48" t="n">
        <x:v>1</x:v>
      </x:c>
      <x:c r="C17" t="str"/>
      <x:c r="E17" s="53"/>
    </x:row>
    <x:row r="18">
      <x:c r="A18" s="35" t="str">
        <x:v>Right to Sublease Yes=1</x:v>
      </x:c>
      <x:c r="B18" s="48" t="n">
        <x:v>1</x:v>
      </x:c>
      <x:c r="C18" t="str"/>
      <x:c r="E18" s="53"/>
    </x:row>
    <x:row r="19">
      <x:c r="A19" s="35" t="str">
        <x:v>Right to Assign Yes=1</x:v>
      </x:c>
      <x:c r="B19" s="48" t="n">
        <x:v>1</x:v>
      </x:c>
      <x:c r="C19" t="str"/>
      <x:c r="E19" s="53"/>
    </x:row>
    <x:row r="20">
      <x:c r="A20" s="35" t="str">
        <x:v>Insurance Approved Yes=1</x:v>
      </x:c>
      <x:c r="B20" s="48" t="n">
        <x:v>1</x:v>
      </x:c>
      <x:c r="C20" t="str"/>
      <x:c r="E20" s="53"/>
    </x:row>
    <x:row r="21">
      <x:c r="A21" s="35" t="str">
        <x:v>Tenant-Buyer Screening Score 1-10</x:v>
      </x:c>
      <x:c r="B21" s="48" t="n">
        <x:v>7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Master Lease / Commercial Control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master leasing multifamily/commercial assets with spread and performance obligations.</x:v>
      </x:c>
    </x:row>
    <x:row r="3">
      <x:c r="A3" s="10" t="str">
        <x:v>Level: Advanced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Units / Spaces</x:v>
      </x:c>
      <x:c r="B8" s="48" t="n">
        <x:v>10</x:v>
      </x:c>
      <x:c r="C8" t="str"/>
      <x:c r="D8" s="41" t="str">
        <x:v>Effective Gross Income</x:v>
      </x:c>
      <x:c r="E8" s="52" t="n">
        <x:f>B10*(1-B11)</x:f>
        <x:v>16200</x:v>
      </x:c>
      <x:c r="F8" t="str">
        <x:v>Auto-calculated. Verify assumptions before using.</x:v>
      </x:c>
      <x:c r="H8" s="46" t="str">
        <x:v>Master lease allows subleasing</x:v>
      </x:c>
      <x:c r="I8" t="str">
        <x:v>Not Started</x:v>
      </x:c>
      <x:c r="J8" t="str"/>
      <x:c r="K8" t="str"/>
    </x:row>
    <x:row r="9">
      <x:c r="A9" s="35" t="str">
        <x:v>Master Lease Payment Monthly</x:v>
      </x:c>
      <x:c r="B9" s="48" t="n">
        <x:v>12000</x:v>
      </x:c>
      <x:c r="C9" t="str"/>
      <x:c r="D9" s="41" t="str">
        <x:v>Monthly Net Spread</x:v>
      </x:c>
      <x:c r="E9" s="52" t="n">
        <x:f>E8-B9-B12-B13-B14</x:f>
        <x:v>-1200</x:v>
      </x:c>
      <x:c r="F9" t="str">
        <x:v>Auto-calculated. Verify assumptions before using.</x:v>
      </x:c>
      <x:c r="H9" s="46" t="str">
        <x:v>Maintenance responsibility written</x:v>
      </x:c>
      <x:c r="I9" t="str">
        <x:v>Not Started</x:v>
      </x:c>
      <x:c r="J9" t="str"/>
      <x:c r="K9" t="str"/>
    </x:row>
    <x:row r="10">
      <x:c r="A10" s="35" t="str">
        <x:v>Gross Rent Potential Monthly</x:v>
      </x:c>
      <x:c r="B10" s="48" t="n">
        <x:v>18000</x:v>
      </x:c>
      <x:c r="C10" t="str"/>
      <x:c r="D10" s="41" t="str">
        <x:v>Annual Net Spread</x:v>
      </x:c>
      <x:c r="E10" s="52" t="n">
        <x:f>E9*12</x:f>
        <x:v>-14400</x:v>
      </x:c>
      <x:c r="F10" t="str">
        <x:v>Auto-calculated. Verify assumptions before using.</x:v>
      </x:c>
      <x:c r="H10" s="46" t="str">
        <x:v>Option terms separate</x:v>
      </x:c>
      <x:c r="I10" t="str">
        <x:v>Not Started</x:v>
      </x:c>
      <x:c r="J10" t="str"/>
      <x:c r="K10" t="str"/>
    </x:row>
    <x:row r="11">
      <x:c r="A11" s="35" t="str">
        <x:v>Vacancy %</x:v>
      </x:c>
      <x:c r="B11" s="48" t="n">
        <x:v>0.1</x:v>
      </x:c>
      <x:c r="C11" t="str"/>
      <x:c r="D11" s="41" t="str">
        <x:v>Cash Needed</x:v>
      </x:c>
      <x:c r="E11" s="52" t="n">
        <x:f>B15+B16</x:f>
        <x:v>13000</x:v>
      </x:c>
      <x:c r="F11" t="str">
        <x:v>Auto-calculated. Verify assumptions before using.</x:v>
      </x:c>
      <x:c r="H11" s="46" t="str">
        <x:v>Tenant ledger/rent roll verified</x:v>
      </x:c>
      <x:c r="I11" t="str">
        <x:v>Not Started</x:v>
      </x:c>
      <x:c r="J11" t="str"/>
      <x:c r="K11" t="str"/>
    </x:row>
    <x:row r="12">
      <x:c r="A12" s="35" t="str">
        <x:v>Operating Expenses Monthly</x:v>
      </x:c>
      <x:c r="B12" s="48" t="n">
        <x:v>3500</x:v>
      </x:c>
      <x:c r="C12" t="str"/>
      <x:c r="D12" s="41" t="str">
        <x:v>Implied Value From NOI</x:v>
      </x:c>
      <x:c r="E12" s="52" t="n">
        <x:f>IFERROR(B19/B20,0)</x:f>
        <x:v>1600000</x:v>
      </x:c>
      <x:c r="F12" t="str">
        <x:v>Auto-calculated. Verify assumptions before using.</x:v>
      </x:c>
      <x:c r="H12" s="46" t="str">
        <x:v>Insurance/naming insured handled</x:v>
      </x:c>
      <x:c r="I12" t="str">
        <x:v>Not Started</x:v>
      </x:c>
      <x:c r="J12" t="str"/>
      <x:c r="K12" t="str"/>
    </x:row>
    <x:row r="13">
      <x:c r="A13" s="35" t="str">
        <x:v>CapEx Reserve Monthly</x:v>
      </x:c>
      <x:c r="B13" s="48" t="n">
        <x:v>1000</x:v>
      </x:c>
      <x:c r="C13" t="str"/>
      <x:c r="D13" s="41" t="str">
        <x:v>Option Equity Spread</x:v>
      </x:c>
      <x:c r="E13" s="52" t="n">
        <x:f>E12-B18</x:f>
        <x:v>100000</x:v>
      </x:c>
      <x:c r="F13" t="str">
        <x:v>Auto-calculated. Verify assumptions before using.</x:v>
      </x:c>
      <x:c r="H13" s="46" t="str">
        <x:v>Default cure periods</x:v>
      </x:c>
      <x:c r="I13" t="str">
        <x:v>Not Started</x:v>
      </x:c>
      <x:c r="J13" t="str"/>
      <x:c r="K13" t="str"/>
    </x:row>
    <x:row r="14">
      <x:c r="A14" s="35" t="str">
        <x:v>Management Monthly</x:v>
      </x:c>
      <x:c r="B14" s="48" t="n">
        <x:v>900</x:v>
      </x:c>
      <x:c r="C14" t="str"/>
      <x:c r="D14" s="41" t="str">
        <x:v>Decision</x:v>
      </x:c>
      <x:c r="E14" s="52" t="str">
        <x:f>IF(AND(E9&gt;1000,B21=1),"GO",IF(E9&gt;0,"MAYBE - NEGOTIATE","NO"))</x:f>
        <x:v>NO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Upfront Security/Deposit</x:v>
      </x:c>
      <x:c r="B15" s="48" t="n">
        <x:v>5000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Turnover/Make-ready Budget</x:v>
      </x:c>
      <x:c r="B16" s="48" t="n">
        <x:v>8000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Term Months</x:v>
      </x:c>
      <x:c r="B17" s="48" t="n">
        <x:v>36</x:v>
      </x:c>
      <x:c r="C17" t="str"/>
      <x:c r="E17" s="53"/>
    </x:row>
    <x:row r="18">
      <x:c r="A18" s="35" t="str">
        <x:v>Purchase Option Price</x:v>
      </x:c>
      <x:c r="B18" s="48" t="n">
        <x:v>1500000</x:v>
      </x:c>
      <x:c r="C18" t="str"/>
      <x:c r="E18" s="53"/>
    </x:row>
    <x:row r="19">
      <x:c r="A19" s="35" t="str">
        <x:v>Current NOI Annual</x:v>
      </x:c>
      <x:c r="B19" s="48" t="n">
        <x:v>120000</x:v>
      </x:c>
      <x:c r="C19" t="str"/>
      <x:c r="E19" s="53"/>
    </x:row>
    <x:row r="20">
      <x:c r="A20" s="35" t="str">
        <x:v>Target Cap Rate</x:v>
      </x:c>
      <x:c r="B20" s="48" t="n">
        <x:v>0.075</x:v>
      </x:c>
      <x:c r="C20" t="str"/>
      <x:c r="E20" s="53"/>
    </x:row>
    <x:row r="21">
      <x:c r="A21" s="35" t="str">
        <x:v>Assignment/Sublease Allowed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Novation / Wholetail Listing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replacing or modifying a purchase contract so the deal can be resold/listed with consent.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Original Contract Price</x:v>
      </x:c>
      <x:c r="B8" s="48" t="n">
        <x:v>180000</x:v>
      </x:c>
      <x:c r="C8" t="str"/>
      <x:c r="D8" s="41" t="str">
        <x:v>Commission Cost</x:v>
      </x:c>
      <x:c r="E8" s="52" t="n">
        <x:f>B9*B12</x:f>
        <x:v>7050</x:v>
      </x:c>
      <x:c r="F8" t="str">
        <x:v>Auto-calculated. Verify assumptions before using.</x:v>
      </x:c>
      <x:c r="H8" s="46" t="str">
        <x:v>Seller fully informed in writing</x:v>
      </x:c>
      <x:c r="I8" t="str">
        <x:v>Not Started</x:v>
      </x:c>
      <x:c r="J8" t="str"/>
      <x:c r="K8" t="str"/>
    </x:row>
    <x:row r="9">
      <x:c r="A9" s="35" t="str">
        <x:v>Target Retail Buyer Price</x:v>
      </x:c>
      <x:c r="B9" s="48" t="n">
        <x:v>235000</x:v>
      </x:c>
      <x:c r="C9" t="str"/>
      <x:c r="D9" s="41" t="str">
        <x:v>Gross Spread</x:v>
      </x:c>
      <x:c r="E9" s="52" t="n">
        <x:f>B9-B8</x:f>
        <x:v>55000</x:v>
      </x:c>
      <x:c r="F9" t="str">
        <x:v>Auto-calculated. Verify assumptions before using.</x:v>
      </x:c>
      <x:c r="H9" s="46" t="str">
        <x:v>Original contract reviewed</x:v>
      </x:c>
      <x:c r="I9" t="str">
        <x:v>Not Started</x:v>
      </x:c>
      <x:c r="J9" t="str"/>
      <x:c r="K9" t="str"/>
    </x:row>
    <x:row r="10">
      <x:c r="A10" s="35" t="str">
        <x:v>Repair/Make-ready Budget</x:v>
      </x:c>
      <x:c r="B10" s="48" t="n">
        <x:v>15000</x:v>
      </x:c>
      <x:c r="C10" t="str"/>
      <x:c r="D10" s="41" t="str">
        <x:v>Net Profit</x:v>
      </x:c>
      <x:c r="E10" s="52" t="n">
        <x:f>E9-B10-B11-B13-B14-B17</x:f>
        <x:v>29000</x:v>
      </x:c>
      <x:c r="F10" t="str">
        <x:v>Auto-calculated. Verify assumptions before using.</x:v>
      </x:c>
      <x:c r="H10" s="46" t="str">
        <x:v>Broker/MLS compliance checked</x:v>
      </x:c>
      <x:c r="I10" t="str">
        <x:v>Not Started</x:v>
      </x:c>
      <x:c r="J10" t="str"/>
      <x:c r="K10" t="str"/>
    </x:row>
    <x:row r="11">
      <x:c r="A11" s="35" t="str">
        <x:v>Closing Costs/Seller Side</x:v>
      </x:c>
      <x:c r="B11" s="48" t="n">
        <x:v>8000</x:v>
      </x:c>
      <x:c r="C11" t="str"/>
      <x:c r="D11" s="41" t="str">
        <x:v>Seller Net Estimate</x:v>
      </x:c>
      <x:c r="E11" s="52" t="n">
        <x:f>B9-E8-B11-B13-B14-B15</x:f>
        <x:v>216905</x:v>
      </x:c>
      <x:c r="F11" t="str">
        <x:v>Auto-calculated. Verify assumptions before using.</x:v>
      </x:c>
      <x:c r="H11" s="46" t="str">
        <x:v>Novation/assignment difference explained</x:v>
      </x:c>
      <x:c r="I11" t="str">
        <x:v>Not Started</x:v>
      </x:c>
      <x:c r="J11" t="str"/>
      <x:c r="K11" t="str"/>
    </x:row>
    <x:row r="12">
      <x:c r="A12" s="35" t="str">
        <x:v>Agent Commission %</x:v>
      </x:c>
      <x:c r="B12" s="48" t="n">
        <x:v>0.03</x:v>
      </x:c>
      <x:c r="C12" t="str"/>
      <x:c r="D12" s="41" t="str">
        <x:v>Profit Margin</x:v>
      </x:c>
      <x:c r="E12" s="52" t="n">
        <x:f>IFERROR(E10/B9,0)</x:f>
        <x:v>0.12340425531914893</x:v>
      </x:c>
      <x:c r="F12" t="str">
        <x:v>Auto-calculated. Verify assumptions before using.</x:v>
      </x:c>
      <x:c r="H12" s="46" t="str">
        <x:v>Repair authority written</x:v>
      </x:c>
      <x:c r="I12" t="str">
        <x:v>Not Started</x:v>
      </x:c>
      <x:c r="J12" t="str"/>
      <x:c r="K12" t="str"/>
    </x:row>
    <x:row r="13">
      <x:c r="A13" s="35" t="str">
        <x:v>Marketing/Utilities/Holding</x:v>
      </x:c>
      <x:c r="B13" s="48" t="n">
        <x:v>3000</x:v>
      </x:c>
      <x:c r="C13" t="str"/>
      <x:c r="D13" s="41" t="str">
        <x:v>Seller Net Pass?</x:v>
      </x:c>
      <x:c r="E13" s="52" t="str">
        <x:f>IF(E11&gt;=B21,"YES","NO")</x:f>
        <x:v>YES</x:v>
      </x:c>
      <x:c r="F13" t="str">
        <x:v>Auto-calculated. Verify assumptions before using.</x:v>
      </x:c>
      <x:c r="H13" s="46" t="str">
        <x:v>End-buyer financing allowed</x:v>
      </x:c>
      <x:c r="I13" t="str">
        <x:v>Not Started</x:v>
      </x:c>
      <x:c r="J13" t="str"/>
      <x:c r="K13" t="str"/>
    </x:row>
    <x:row r="14">
      <x:c r="A14" s="35" t="str">
        <x:v>Seller Additional Concession</x:v>
      </x:c>
      <x:c r="B14" s="48" t="n">
        <x:v>0</x:v>
      </x:c>
      <x:c r="C14" t="str"/>
      <x:c r="D14" s="41" t="str">
        <x:v>Decision</x:v>
      </x:c>
      <x:c r="E14" s="52" t="str">
        <x:f>IF(AND(E10&gt;10000,B18=1,B19=1,E13="YES"),"GO",IF(E10&gt;0,"MAYBE","NO"))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Days to Resell</x:v>
      </x:c>
      <x:c r="B15" s="48" t="n">
        <x:v>45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Earnest Money</x:v>
      </x:c>
      <x:c r="B16" s="48" t="n">
        <x:v>1000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Title/Lien Issues Estimate</x:v>
      </x:c>
      <x:c r="B17" s="48" t="n">
        <x:v>0</x:v>
      </x:c>
      <x:c r="C17" t="str"/>
      <x:c r="E17" s="53"/>
    </x:row>
    <x:row r="18">
      <x:c r="A18" s="35" t="str">
        <x:v>Written Seller Consent Yes=1</x:v>
      </x:c>
      <x:c r="B18" s="48" t="n">
        <x:v>1</x:v>
      </x:c>
      <x:c r="C18" t="str"/>
      <x:c r="E18" s="53"/>
    </x:row>
    <x:row r="19">
      <x:c r="A19" s="35" t="str">
        <x:v>MLS/Broker Review Yes=1</x:v>
      </x:c>
      <x:c r="B19" s="48" t="n">
        <x:v>1</x:v>
      </x:c>
      <x:c r="C19" t="str"/>
      <x:c r="E19" s="53"/>
    </x:row>
    <x:row r="20">
      <x:c r="A20" s="35" t="str">
        <x:v>Buyer Financing Risk Score 1-10</x:v>
      </x:c>
      <x:c r="B20" s="48" t="n">
        <x:v>6</x:v>
      </x:c>
      <x:c r="C20" t="str"/>
      <x:c r="E20" s="53"/>
    </x:row>
    <x:row r="21">
      <x:c r="A21" s="35" t="str">
        <x:v>Seller Net Minimum</x:v>
      </x:c>
      <x:c r="B21" s="48" t="n">
        <x:v>170000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Wholesale Assignment Fee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assigning purchase rights to an end buyer.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ARV</x:v>
      </x:c>
      <x:c r="B8" s="48" t="n">
        <x:v>250000</x:v>
      </x:c>
      <x:c r="C8" t="str"/>
      <x:c r="D8" s="41" t="str">
        <x:v>MAO 70% Rule</x:v>
      </x:c>
      <x:c r="E8" s="52" t="n">
        <x:f>B8*0.7-B9-B10-B11</x:f>
        <x:v>80000</x:v>
      </x:c>
      <x:c r="F8" t="str">
        <x:v>Auto-calculated. Verify assumptions before using.</x:v>
      </x:c>
      <x:c r="H8" s="46" t="str">
        <x:v>Assignment clause in contract</x:v>
      </x:c>
      <x:c r="I8" t="str">
        <x:v>Not Started</x:v>
      </x:c>
      <x:c r="J8" t="str"/>
      <x:c r="K8" t="str"/>
    </x:row>
    <x:row r="9">
      <x:c r="A9" s="35" t="str">
        <x:v>Repair Budget</x:v>
      </x:c>
      <x:c r="B9" s="48" t="n">
        <x:v>40000</x:v>
      </x:c>
      <x:c r="C9" t="str"/>
      <x:c r="D9" s="41" t="str">
        <x:v>Assignment Fee</x:v>
      </x:c>
      <x:c r="E9" s="52" t="n">
        <x:f>B13-B12</x:f>
        <x:v>20000</x:v>
      </x:c>
      <x:c r="F9" t="str">
        <x:v>Auto-calculated. Verify assumptions before using.</x:v>
      </x:c>
      <x:c r="H9" s="46" t="str">
        <x:v>Required wholesale disclosure signed</x:v>
      </x:c>
      <x:c r="I9" t="str">
        <x:v>Not Started</x:v>
      </x:c>
      <x:c r="J9" t="str"/>
      <x:c r="K9" t="str"/>
    </x:row>
    <x:row r="10">
      <x:c r="A10" s="35" t="str">
        <x:v>Investor Desired Profit</x:v>
      </x:c>
      <x:c r="B10" s="48" t="n">
        <x:v>30000</x:v>
      </x:c>
      <x:c r="C10" t="str"/>
      <x:c r="D10" s="41" t="str">
        <x:v>End Buyer Equity</x:v>
      </x:c>
      <x:c r="E10" s="52" t="n">
        <x:f>B8-B13-B9</x:f>
        <x:v>70000</x:v>
      </x:c>
      <x:c r="F10" t="str">
        <x:v>Auto-calculated. Verify assumptions before using.</x:v>
      </x:c>
      <x:c r="H10" s="46" t="str">
        <x:v>End-buyer POF verified</x:v>
      </x:c>
      <x:c r="I10" t="str">
        <x:v>Not Started</x:v>
      </x:c>
      <x:c r="J10" t="str"/>
      <x:c r="K10" t="str"/>
    </x:row>
    <x:row r="11">
      <x:c r="A11" s="35" t="str">
        <x:v>Buying/Holding/Selling Costs</x:v>
      </x:c>
      <x:c r="B11" s="48" t="n">
        <x:v>25000</x:v>
      </x:c>
      <x:c r="C11" t="str"/>
      <x:c r="D11" s="41" t="str">
        <x:v>Fee Margin</x:v>
      </x:c>
      <x:c r="E11" s="52" t="n">
        <x:f>IFERROR(E9/B13,0)</x:f>
        <x:v>0.14285714285714285</x:v>
      </x:c>
      <x:c r="F11" t="str">
        <x:v>Auto-calculated. Verify assumptions before using.</x:v>
      </x:c>
      <x:c r="H11" s="46" t="str">
        <x:v>Title company assignment-friendly</x:v>
      </x:c>
      <x:c r="I11" t="str">
        <x:v>Not Started</x:v>
      </x:c>
      <x:c r="J11" t="str"/>
      <x:c r="K11" t="str"/>
    </x:row>
    <x:row r="12">
      <x:c r="A12" s="35" t="str">
        <x:v>Assignment Contract Price</x:v>
      </x:c>
      <x:c r="B12" s="48" t="n">
        <x:v>120000</x:v>
      </x:c>
      <x:c r="C12" t="str"/>
      <x:c r="D12" s="41" t="str">
        <x:v>Disclosure Gate</x:v>
      </x:c>
      <x:c r="E12" s="52" t="str">
        <x:f>IF(OR(B19=0,B20=1),"PASS","FAIL")</x:f>
        <x:v>PASS</x:v>
      </x:c>
      <x:c r="F12" t="str">
        <x:v>Auto-calculated. Verify assumptions before using.</x:v>
      </x:c>
      <x:c r="H12" s="46" t="str">
        <x:v>Inspection period tracked</x:v>
      </x:c>
      <x:c r="I12" t="str">
        <x:v>Not Started</x:v>
      </x:c>
      <x:c r="J12" t="str"/>
      <x:c r="K12" t="str"/>
    </x:row>
    <x:row r="13">
      <x:c r="A13" s="35" t="str">
        <x:v>End Buyer Price</x:v>
      </x:c>
      <x:c r="B13" s="48" t="n">
        <x:v>140000</x:v>
      </x:c>
      <x:c r="C13" t="str"/>
      <x:c r="D13" s="41" t="str">
        <x:v>Title/Buyer Gate</x:v>
      </x:c>
      <x:c r="E13" s="52" t="str">
        <x:f>IF(AND(B17=1,B18=1,B21=1),"PASS","FAIL")</x:f>
        <x:v>PASS</x:v>
      </x:c>
      <x:c r="F13" t="str">
        <x:v>Auto-calculated. Verify assumptions before using.</x:v>
      </x:c>
      <x:c r="H13" s="46" t="str">
        <x:v>Marketing does not imply ownership if not owned</x:v>
      </x:c>
      <x:c r="I13" t="str">
        <x:v>Not Started</x:v>
      </x:c>
      <x:c r="J13" t="str"/>
      <x:c r="K13" t="str"/>
    </x:row>
    <x:row r="14">
      <x:c r="A14" s="35" t="str">
        <x:v>Earnest Money</x:v>
      </x:c>
      <x:c r="B14" s="48" t="n">
        <x:v>1000</x:v>
      </x:c>
      <x:c r="C14" t="str"/>
      <x:c r="D14" s="41" t="str">
        <x:v>Decision</x:v>
      </x:c>
      <x:c r="E14" s="52" t="str">
        <x:f>IF(AND(E9&gt;5000,E12="PASS",E13="PASS"),"GO",IF(E9&gt;0,"MAYBE","NO"))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Marketing Cost</x:v>
      </x:c>
      <x:c r="B15" s="48" t="n">
        <x:v>500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Inspection Period Days</x:v>
      </x:c>
      <x:c r="B16" s="48" t="n">
        <x:v>10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Buyer Proof of Funds Yes=1</x:v>
      </x:c>
      <x:c r="B17" s="48" t="n">
        <x:v>1</x:v>
      </x:c>
      <x:c r="C17" t="str"/>
      <x:c r="E17" s="53"/>
    </x:row>
    <x:row r="18">
      <x:c r="A18" s="35" t="str">
        <x:v>Assignment Allowed Yes=1</x:v>
      </x:c>
      <x:c r="B18" s="48" t="n">
        <x:v>1</x:v>
      </x:c>
      <x:c r="C18" t="str"/>
      <x:c r="E18" s="53"/>
    </x:row>
    <x:row r="19">
      <x:c r="A19" s="35" t="str">
        <x:v>State Disclosure Required Yes=1</x:v>
      </x:c>
      <x:c r="B19" s="48" t="n">
        <x:v>1</x:v>
      </x:c>
      <x:c r="C19" t="str"/>
      <x:c r="E19" s="53"/>
    </x:row>
    <x:row r="20">
      <x:c r="A20" s="35" t="str">
        <x:v>Disclosure Completed Yes=1</x:v>
      </x:c>
      <x:c r="B20" s="48" t="n">
        <x:v>1</x:v>
      </x:c>
      <x:c r="C20" t="str"/>
      <x:c r="E20" s="53"/>
    </x:row>
    <x:row r="21">
      <x:c r="A21" s="35" t="str">
        <x:v>Title Company Accepts Assignment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Double Close / Back-to-Back Closing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buying and reselling through two closings, often to protect spread or handle non-assignable deals.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A-B Purchase Price</x:v>
      </x:c>
      <x:c r="B8" s="48" t="n">
        <x:v>130000</x:v>
      </x:c>
      <x:c r="C8" t="str"/>
      <x:c r="D8" s="41" t="str">
        <x:v>Gross Spread</x:v>
      </x:c>
      <x:c r="E8" s="52" t="n">
        <x:f>B9-B8</x:f>
        <x:v>30000</x:v>
      </x:c>
      <x:c r="F8" t="str">
        <x:v>Auto-calculated. Verify assumptions before using.</x:v>
      </x:c>
      <x:c r="H8" s="46" t="str">
        <x:v>Title company confirms double close</x:v>
      </x:c>
      <x:c r="I8" t="str">
        <x:v>Not Started</x:v>
      </x:c>
      <x:c r="J8" t="str"/>
      <x:c r="K8" t="str"/>
    </x:row>
    <x:row r="9">
      <x:c r="A9" s="35" t="str">
        <x:v>B-C Sale Price</x:v>
      </x:c>
      <x:c r="B9" s="48" t="n">
        <x:v>160000</x:v>
      </x:c>
      <x:c r="C9" t="str"/>
      <x:c r="D9" s="41" t="str">
        <x:v>Total Costs</x:v>
      </x:c>
      <x:c r="E9" s="52" t="n">
        <x:f>SUM(B10:B12)</x:f>
        <x:v>11500</x:v>
      </x:c>
      <x:c r="F9" t="str">
        <x:v>Auto-calculated. Verify assumptions before using.</x:v>
      </x:c>
      <x:c r="H9" s="46" t="str">
        <x:v>Transactional funds lined up</x:v>
      </x:c>
      <x:c r="I9" t="str">
        <x:v>Not Started</x:v>
      </x:c>
      <x:c r="J9" t="str"/>
      <x:c r="K9" t="str"/>
    </x:row>
    <x:row r="10">
      <x:c r="A10" s="35" t="str">
        <x:v>A-B Closing Costs</x:v>
      </x:c>
      <x:c r="B10" s="48" t="n">
        <x:v>4000</x:v>
      </x:c>
      <x:c r="C10" t="str"/>
      <x:c r="D10" s="41" t="str">
        <x:v>Net Profit</x:v>
      </x:c>
      <x:c r="E10" s="52" t="n">
        <x:f>E8-E9</x:f>
        <x:v>18500</x:v>
      </x:c>
      <x:c r="F10" t="str">
        <x:v>Auto-calculated. Verify assumptions before using.</x:v>
      </x:c>
      <x:c r="H10" s="46" t="str">
        <x:v>Two HUD/settlement statements reviewed</x:v>
      </x:c>
      <x:c r="I10" t="str">
        <x:v>Not Started</x:v>
      </x:c>
      <x:c r="J10" t="str"/>
      <x:c r="K10" t="str"/>
    </x:row>
    <x:row r="11">
      <x:c r="A11" s="35" t="str">
        <x:v>B-C Closing Costs</x:v>
      </x:c>
      <x:c r="B11" s="48" t="n">
        <x:v>5000</x:v>
      </x:c>
      <x:c r="C11" t="str"/>
      <x:c r="D11" s="41" t="str">
        <x:v>Profit Margin</x:v>
      </x:c>
      <x:c r="E11" s="52" t="n">
        <x:f>IFERROR(E10/B9,0)</x:f>
        <x:v>0.115625</x:v>
      </x:c>
      <x:c r="F11" t="str">
        <x:v>Auto-calculated. Verify assumptions before using.</x:v>
      </x:c>
      <x:c r="H11" s="46" t="str">
        <x:v>End buyer funds verified</x:v>
      </x:c>
      <x:c r="I11" t="str">
        <x:v>Not Started</x:v>
      </x:c>
      <x:c r="J11" t="str"/>
      <x:c r="K11" t="str"/>
    </x:row>
    <x:row r="12">
      <x:c r="A12" s="35" t="str">
        <x:v>Transactional Funding Fee</x:v>
      </x:c>
      <x:c r="B12" s="48" t="n">
        <x:v>2500</x:v>
      </x:c>
      <x:c r="C12" t="str"/>
      <x:c r="D12" s="41" t="str">
        <x:v>Closing Gate</x:v>
      </x:c>
      <x:c r="E12" s="52" t="str">
        <x:f>IF(AND(B14=1,B15=1,B16=1,B18=1),"PASS","FAIL")</x:f>
        <x:v>PASS</x:v>
      </x:c>
      <x:c r="F12" t="str">
        <x:v>Auto-calculated. Verify assumptions before using.</x:v>
      </x:c>
      <x:c r="H12" s="46" t="str">
        <x:v>Timing dependencies mapped</x:v>
      </x:c>
      <x:c r="I12" t="str">
        <x:v>Not Started</x:v>
      </x:c>
      <x:c r="J12" t="str"/>
      <x:c r="K12" t="str"/>
    </x:row>
    <x:row r="13">
      <x:c r="A13" s="35" t="str">
        <x:v>Earnest Money</x:v>
      </x:c>
      <x:c r="B13" s="48" t="n">
        <x:v>1500</x:v>
      </x:c>
      <x:c r="C13" t="str"/>
      <x:c r="D13" s="41" t="str">
        <x:v>Risk Score</x:v>
      </x:c>
      <x:c r="E13" s="52" t="n">
        <x:f>B17+B20+B21-IF(B19=1,2,0)</x:f>
        <x:v>13</x:v>
      </x:c>
      <x:c r="F13" t="str">
        <x:v>Auto-calculated. Verify assumptions before using.</x:v>
      </x:c>
      <x:c r="H13" s="46" t="str">
        <x:v>Backup plan if buyer fails</x:v>
      </x:c>
      <x:c r="I13" t="str">
        <x:v>Not Started</x:v>
      </x:c>
      <x:c r="J13" t="str"/>
      <x:c r="K13" t="str"/>
    </x:row>
    <x:row r="14">
      <x:c r="A14" s="35" t="str">
        <x:v>Same-Day Close Yes=1</x:v>
      </x:c>
      <x:c r="B14" s="48" t="n">
        <x:v>1</x:v>
      </x:c>
      <x:c r="C14" t="str"/>
      <x:c r="D14" s="41" t="str">
        <x:v>Decision</x:v>
      </x:c>
      <x:c r="E14" s="52" t="str">
        <x:f>IF(AND(E10&gt;10000,E12="PASS",E13&lt;=15),"GO",IF(E10&gt;0,"MAYBE","NO"))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Title Company Allows Double Close Yes=1</x:v>
      </x:c>
      <x:c r="B15" s="48" t="n">
        <x:v>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End Buyer Funds Cleared Yes=1</x:v>
      </x:c>
      <x:c r="B16" s="48" t="n">
        <x:v>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Inspection/Appraisal Risk Score 1-10</x:v>
      </x:c>
      <x:c r="B17" s="48" t="n">
        <x:v>5</x:v>
      </x:c>
      <x:c r="C17" t="str"/>
      <x:c r="E17" s="53"/>
    </x:row>
    <x:row r="18">
      <x:c r="A18" s="35" t="str">
        <x:v>Disclosure/State Compliance Yes=1</x:v>
      </x:c>
      <x:c r="B18" s="48" t="n">
        <x:v>1</x:v>
      </x:c>
      <x:c r="C18" t="str"/>
      <x:c r="E18" s="53"/>
    </x:row>
    <x:row r="19">
      <x:c r="A19" s="35" t="str">
        <x:v>Backup Buyer Yes=1</x:v>
      </x:c>
      <x:c r="B19" s="48" t="n">
        <x:v>0</x:v>
      </x:c>
      <x:c r="C19" t="str"/>
      <x:c r="E19" s="53"/>
    </x:row>
    <x:row r="20">
      <x:c r="A20" s="35" t="str">
        <x:v>Seller Delay Risk Score 1-10</x:v>
      </x:c>
      <x:c r="B20" s="48" t="n">
        <x:v>4</x:v>
      </x:c>
      <x:c r="C20" t="str"/>
      <x:c r="E20" s="53"/>
    </x:row>
    <x:row r="21">
      <x:c r="A21" s="35" t="str">
        <x:v>Buyer Delay Risk Score 1-10</x:v>
      </x:c>
      <x:c r="B21" s="48" t="n">
        <x:v>4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Wholetail / Light Rehab Resale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closing on a property, doing minimal cleanup/repairs, and reselling quickly.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150000</x:v>
      </x:c>
      <x:c r="C8" t="str"/>
      <x:c r="D8" s="41" t="str">
        <x:v>Commission</x:v>
      </x:c>
      <x:c r="E8" s="52" t="n">
        <x:f>B9*B13</x:f>
        <x:v>6300</x:v>
      </x:c>
      <x:c r="F8" t="str">
        <x:v>Auto-calculated. Verify assumptions before using.</x:v>
      </x:c>
      <x:c r="H8" s="46" t="str">
        <x:v>Cleanup scope priced</x:v>
      </x:c>
      <x:c r="I8" t="str">
        <x:v>Not Started</x:v>
      </x:c>
      <x:c r="J8" t="str"/>
      <x:c r="K8" t="str"/>
    </x:row>
    <x:row r="9">
      <x:c r="A9" s="35" t="str">
        <x:v>After Cleanup Resale Price</x:v>
      </x:c>
      <x:c r="B9" s="48" t="n">
        <x:v>210000</x:v>
      </x:c>
      <x:c r="C9" t="str"/>
      <x:c r="D9" s="41" t="str">
        <x:v>Rehab Contingency</x:v>
      </x:c>
      <x:c r="E9" s="52" t="n">
        <x:f>B10*B16</x:f>
        <x:v>1500</x:v>
      </x:c>
      <x:c r="F9" t="str">
        <x:v>Auto-calculated. Verify assumptions before using.</x:v>
      </x:c>
      <x:c r="H9" s="46" t="str">
        <x:v>Comparable resales verified</x:v>
      </x:c>
      <x:c r="I9" t="str">
        <x:v>Not Started</x:v>
      </x:c>
      <x:c r="J9" t="str"/>
      <x:c r="K9" t="str"/>
    </x:row>
    <x:row r="10">
      <x:c r="A10" s="35" t="str">
        <x:v>Light Rehab Budget</x:v>
      </x:c>
      <x:c r="B10" s="48" t="n">
        <x:v>15000</x:v>
      </x:c>
      <x:c r="C10" t="str"/>
      <x:c r="D10" s="41" t="str">
        <x:v>Holding Cost</x:v>
      </x:c>
      <x:c r="E10" s="52" t="n">
        <x:f>B14*B15</x:f>
        <x:v>3600</x:v>
      </x:c>
      <x:c r="F10" t="str">
        <x:v>Auto-calculated. Verify assumptions before using.</x:v>
      </x:c>
      <x:c r="H10" s="46" t="str">
        <x:v>Holding cost included</x:v>
      </x:c>
      <x:c r="I10" t="str">
        <x:v>Not Started</x:v>
      </x:c>
      <x:c r="J10" t="str"/>
      <x:c r="K10" t="str"/>
    </x:row>
    <x:row r="11">
      <x:c r="A11" s="35" t="str">
        <x:v>Closing Costs In</x:v>
      </x:c>
      <x:c r="B11" s="48" t="n">
        <x:v>4500</x:v>
      </x:c>
      <x:c r="C11" t="str"/>
      <x:c r="D11" s="41" t="str">
        <x:v>Total Costs</x:v>
      </x:c>
      <x:c r="E11" s="52" t="n">
        <x:f>SUM(B10:B12)+B18+B19+B17+B20+B21</x:f>
        <x:v>30012</x:v>
      </x:c>
      <x:c r="F11" t="str">
        <x:v>Auto-calculated. Verify assumptions before using.</x:v>
      </x:c>
      <x:c r="H11" s="46" t="str">
        <x:v>Listing plan ready</x:v>
      </x:c>
      <x:c r="I11" t="str">
        <x:v>Not Started</x:v>
      </x:c>
      <x:c r="J11" t="str"/>
      <x:c r="K11" t="str"/>
    </x:row>
    <x:row r="12">
      <x:c r="A12" s="35" t="str">
        <x:v>Closing Costs Out</x:v>
      </x:c>
      <x:c r="B12" s="48" t="n">
        <x:v>6500</x:v>
      </x:c>
      <x:c r="C12" t="str"/>
      <x:c r="D12" s="41" t="str">
        <x:v>Net Profit</x:v>
      </x:c>
      <x:c r="E12" s="52" t="n">
        <x:f>B9-B8-E11</x:f>
        <x:v>29988</x:v>
      </x:c>
      <x:c r="F12" t="str">
        <x:v>Auto-calculated. Verify assumptions before using.</x:v>
      </x:c>
      <x:c r="H12" s="46" t="str">
        <x:v>Insurance during ownership</x:v>
      </x:c>
      <x:c r="I12" t="str">
        <x:v>Not Started</x:v>
      </x:c>
      <x:c r="J12" t="str"/>
      <x:c r="K12" t="str"/>
    </x:row>
    <x:row r="13">
      <x:c r="A13" s="35" t="str">
        <x:v>Agent Commission %</x:v>
      </x:c>
      <x:c r="B13" s="48" t="n">
        <x:v>0.03</x:v>
      </x:c>
      <x:c r="C13" t="str"/>
      <x:c r="D13" s="41" t="str">
        <x:v>ROI on Cash</x:v>
      </x:c>
      <x:c r="E13" s="52" t="n">
        <x:f>IFERROR(E12/(B10+B11+B17+B20),0)</x:f>
        <x:v>1.3325038880248834</x:v>
      </x:c>
      <x:c r="F13" t="str">
        <x:v>Auto-calculated. Verify assumptions before using.</x:v>
      </x:c>
      <x:c r="H13" s="46" t="str">
        <x:v>Exit as rental if no resale</x:v>
      </x:c>
      <x:c r="I13" t="str">
        <x:v>Not Started</x:v>
      </x:c>
      <x:c r="J13" t="str"/>
      <x:c r="K13" t="str"/>
    </x:row>
    <x:row r="14">
      <x:c r="A14" s="35" t="str">
        <x:v>Holding Months</x:v>
      </x:c>
      <x:c r="B14" s="48" t="n">
        <x:v>3</x:v>
      </x:c>
      <x:c r="C14" t="str"/>
      <x:c r="D14" s="41" t="str">
        <x:v>Decision</x:v>
      </x:c>
      <x:c r="E14" s="52" t="str">
        <x:f>IF(AND(E12&gt;20000,E13&gt;0.2,E9&gt;=7),"GO",IF(E12&gt;10000,"MAYBE","NO"))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Holding Cost</x:v>
      </x:c>
      <x:c r="B15" s="48" t="n">
        <x:v>1200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Contingency %</x:v>
      </x:c>
      <x:c r="B16" s="48" t="n">
        <x:v>0.1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Hard Money Points/Fees</x:v>
      </x:c>
      <x:c r="B17" s="48" t="n">
        <x:v>3000</x:v>
      </x:c>
      <x:c r="C17" t="str"/>
      <x:c r="E17" s="53"/>
    </x:row>
    <x:row r="18">
      <x:c r="A18" s="35" t="str">
        <x:v>Marketing Cost</x:v>
      </x:c>
      <x:c r="B18" s="48" t="n">
        <x:v>1000</x:v>
      </x:c>
      <x:c r="C18" t="str"/>
      <x:c r="E18" s="53"/>
    </x:row>
    <x:row r="19">
      <x:c r="A19" s="35" t="str">
        <x:v>Title Issue Reserve</x:v>
      </x:c>
      <x:c r="B19" s="48" t="n">
        <x:v>0</x:v>
      </x:c>
      <x:c r="C19" t="str"/>
      <x:c r="E19" s="53"/>
    </x:row>
    <x:row r="20">
      <x:c r="A20" s="35" t="str">
        <x:v>Buyer Financing Risk 1-10</x:v>
      </x:c>
      <x:c r="B20" s="48" t="n">
        <x:v>5</x:v>
      </x:c>
      <x:c r="C20" t="str"/>
      <x:c r="E20" s="53"/>
    </x:row>
    <x:row r="21">
      <x:c r="A21" s="35" t="str">
        <x:v>Comps Confidence 1-10</x:v>
      </x:c>
      <x:c r="B21" s="48" t="n">
        <x:v>7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Fix &amp; Flip Full Rehab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Calculate MAO, rehab, holding costs, resale costs, and target profit.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ARV</x:v>
      </x:c>
      <x:c r="B8" s="48" t="n">
        <x:v>300000</x:v>
      </x:c>
      <x:c r="C8" t="str"/>
      <x:c r="D8" s="41" t="str">
        <x:v>70% Rule MAO</x:v>
      </x:c>
      <x:c r="E8" s="52" t="n">
        <x:f>B8*0.7-B9</x:f>
        <x:v>150000</x:v>
      </x:c>
      <x:c r="F8" t="str">
        <x:v>Auto-calculated. Verify assumptions before using.</x:v>
      </x:c>
      <x:c r="H8" s="46" t="str">
        <x:v>ARV comps within 0.5 mile when possible</x:v>
      </x:c>
      <x:c r="I8" t="str">
        <x:v>Not Started</x:v>
      </x:c>
      <x:c r="J8" t="str"/>
      <x:c r="K8" t="str"/>
    </x:row>
    <x:row r="9">
      <x:c r="A9" s="35" t="str">
        <x:v>Repair Budget</x:v>
      </x:c>
      <x:c r="B9" s="48" t="n">
        <x:v>60000</x:v>
      </x:c>
      <x:c r="C9" t="str"/>
      <x:c r="D9" s="41" t="str">
        <x:v>Detailed MAO</x:v>
      </x:c>
      <x:c r="E9" s="52" t="n">
        <x:f>B8-(B9*(1+B16))-B10-B11-(B8*B12)-(B13*B14)-B15</x:f>
        <x:v>152000</x:v>
      </x:c>
      <x:c r="F9" t="str">
        <x:v>Auto-calculated. Verify assumptions before using.</x:v>
      </x:c>
      <x:c r="H9" s="46" t="str">
        <x:v>Contractor bid uploaded</x:v>
      </x:c>
      <x:c r="I9" t="str">
        <x:v>Not Started</x:v>
      </x:c>
      <x:c r="J9" t="str"/>
      <x:c r="K9" t="str"/>
    </x:row>
    <x:row r="10">
      <x:c r="A10" s="35" t="str">
        <x:v>Desired Profit</x:v>
      </x:c>
      <x:c r="B10" s="48" t="n">
        <x:v>35000</x:v>
      </x:c>
      <x:c r="C10" t="str"/>
      <x:c r="D10" s="41" t="str">
        <x:v>Total Project Cost</x:v>
      </x:c>
      <x:c r="E10" s="52" t="n">
        <x:f>B17+B9*(1+B16)+B11+B15+(B13*B14)</x:f>
        <x:v>254000</x:v>
      </x:c>
      <x:c r="F10" t="str">
        <x:v>Auto-calculated. Verify assumptions before using.</x:v>
      </x:c>
      <x:c r="H10" s="46" t="str">
        <x:v>Permit scope checked</x:v>
      </x:c>
      <x:c r="I10" t="str">
        <x:v>Not Started</x:v>
      </x:c>
      <x:c r="J10" t="str"/>
      <x:c r="K10" t="str"/>
    </x:row>
    <x:row r="11">
      <x:c r="A11" s="35" t="str">
        <x:v>Closing Costs In</x:v>
      </x:c>
      <x:c r="B11" s="48" t="n">
        <x:v>6000</x:v>
      </x:c>
      <x:c r="C11" t="str"/>
      <x:c r="D11" s="41" t="str">
        <x:v>Projected Net Profit</x:v>
      </x:c>
      <x:c r="E11" s="52" t="n">
        <x:f>B8-(B20+B9*(1+B16)+B11+B15+(B13*B14)+(B8*B12))</x:f>
        <x:v>186992</x:v>
      </x:c>
      <x:c r="F11" t="str">
        <x:v>Auto-calculated. Verify assumptions before using.</x:v>
      </x:c>
      <x:c r="H11" s="46" t="str">
        <x:v>Financing terms included</x:v>
      </x:c>
      <x:c r="I11" t="str">
        <x:v>Not Started</x:v>
      </x:c>
      <x:c r="J11" t="str"/>
      <x:c r="K11" t="str"/>
    </x:row>
    <x:row r="12">
      <x:c r="A12" s="35" t="str">
        <x:v>Selling Costs %</x:v>
      </x:c>
      <x:c r="B12" s="48" t="n">
        <x:v>0.08</x:v>
      </x:c>
      <x:c r="C12" t="str"/>
      <x:c r="D12" s="41" t="str">
        <x:v>ROI on Cost</x:v>
      </x:c>
      <x:c r="E12" s="52" t="n">
        <x:f>IFERROR(E10/E9,0)</x:f>
        <x:v>1.6710526315789473</x:v>
      </x:c>
      <x:c r="F12" t="str">
        <x:v>Auto-calculated. Verify assumptions before using.</x:v>
      </x:c>
      <x:c r="H12" s="46" t="str">
        <x:v>Holding and resale costs included</x:v>
      </x:c>
      <x:c r="I12" t="str">
        <x:v>Not Started</x:v>
      </x:c>
      <x:c r="J12" t="str"/>
      <x:c r="K12" t="str"/>
    </x:row>
    <x:row r="13">
      <x:c r="A13" s="35" t="str">
        <x:v>Holding Months</x:v>
      </x:c>
      <x:c r="B13" s="48" t="n">
        <x:v>6</x:v>
      </x:c>
      <x:c r="C13" t="str"/>
      <x:c r="D13" s="41" t="str">
        <x:v>Risk Gate</x:v>
      </x:c>
      <x:c r="E13" s="52" t="str">
        <x:f>IF(AND(B18&gt;=7,B19&gt;=7,B21&lt;=7),"PASS","REVIEW")</x:f>
        <x:v>REVIEW</x:v>
      </x:c>
      <x:c r="F13" t="str">
        <x:v>Auto-calculated. Verify assumptions before using.</x:v>
      </x:c>
      <x:c r="H13" s="46" t="str">
        <x:v>Backup rental/wholesale exit</x:v>
      </x:c>
      <x:c r="I13" t="str">
        <x:v>Not Started</x:v>
      </x:c>
      <x:c r="J13" t="str"/>
      <x:c r="K13" t="str"/>
    </x:row>
    <x:row r="14">
      <x:c r="A14" s="35" t="str">
        <x:v>Monthly Holding Cost</x:v>
      </x:c>
      <x:c r="B14" s="48" t="n">
        <x:v>1800</x:v>
      </x:c>
      <x:c r="C14" t="str"/>
      <x:c r="D14" s="41" t="str">
        <x:v>Decision</x:v>
      </x:c>
      <x:c r="E14" s="52" t="str">
        <x:f>IF(AND(E10&gt;=B10,E11&gt;=0.15,E12="PASS"),"GO",IF(E10&gt;0,"MAYBE","NO"))</x:f>
        <x:v>MAYBE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Financing Points/Fees</x:v>
      </x:c>
      <x:c r="B15" s="48" t="n">
        <x:v>5000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Contingency %</x:v>
      </x:c>
      <x:c r="B16" s="48" t="n">
        <x:v>0.12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Offer Price</x:v>
      </x:c>
      <x:c r="B17" s="48" t="n">
        <x:v>165000</x:v>
      </x:c>
      <x:c r="C17" t="str"/>
      <x:c r="E17" s="53"/>
    </x:row>
    <x:row r="18">
      <x:c r="A18" s="35" t="str">
        <x:v>Permit Required Yes=1</x:v>
      </x:c>
      <x:c r="B18" s="48" t="n">
        <x:v>1</x:v>
      </x:c>
      <x:c r="C18" t="str"/>
      <x:c r="E18" s="53"/>
    </x:row>
    <x:row r="19">
      <x:c r="A19" s="35" t="str">
        <x:v>Contractor Bid Confidence 1-10</x:v>
      </x:c>
      <x:c r="B19" s="48" t="n">
        <x:v>7</x:v>
      </x:c>
      <x:c r="C19" t="str"/>
      <x:c r="E19" s="53"/>
    </x:row>
    <x:row r="20">
      <x:c r="A20" s="35" t="str">
        <x:v>Comps Confidence 1-10</x:v>
      </x:c>
      <x:c r="B20" s="48" t="n">
        <x:v>8</x:v>
      </x:c>
      <x:c r="C20" t="str"/>
      <x:c r="E20" s="53"/>
    </x:row>
    <x:row r="21">
      <x:c r="A21" s="35" t="str">
        <x:v>Timeline Risk 1-10</x:v>
      </x:c>
      <x:c r="B21" s="48" t="n">
        <x:v>5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BRRRR Buy-Rehab-Rent-Refinance-Repeat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whether a rehabbed rental can refinance capital back out while cash flowing.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140000</x:v>
      </x:c>
      <x:c r="C8" t="str"/>
      <x:c r="D8" s="41" t="str">
        <x:v>Refi Loan Amount</x:v>
      </x:c>
      <x:c r="E8" s="52" t="n">
        <x:f>B10*B11</x:f>
        <x:v>187500</x:v>
      </x:c>
      <x:c r="F8" t="str">
        <x:v>Auto-calculated. Verify assumptions before using.</x:v>
      </x:c>
      <x:c r="H8" s="46" t="str">
        <x:v>Refi lender terms verified</x:v>
      </x:c>
      <x:c r="I8" t="str">
        <x:v>Not Started</x:v>
      </x:c>
      <x:c r="J8" t="str"/>
      <x:c r="K8" t="str"/>
    </x:row>
    <x:row r="9">
      <x:c r="A9" s="35" t="str">
        <x:v>Rehab Budget</x:v>
      </x:c>
      <x:c r="B9" s="48" t="n">
        <x:v>45000</x:v>
      </x:c>
      <x:c r="C9" t="str"/>
      <x:c r="D9" s="41" t="str">
        <x:v>Cash Returned at Refi</x:v>
      </x:c>
      <x:c r="E9" s="52" t="n">
        <x:f>MAX(0,E8-B8-B9-B19)</x:f>
        <x:v>0</x:v>
      </x:c>
      <x:c r="F9" t="str">
        <x:v>Auto-calculated. Verify assumptions before using.</x:v>
      </x:c>
      <x:c r="H9" s="46" t="str">
        <x:v>Seasoning rules confirmed</x:v>
      </x:c>
      <x:c r="I9" t="str">
        <x:v>Not Started</x:v>
      </x:c>
      <x:c r="J9" t="str"/>
      <x:c r="K9" t="str"/>
    </x:row>
    <x:row r="10">
      <x:c r="A10" s="35" t="str">
        <x:v>ARV</x:v>
      </x:c>
      <x:c r="B10" s="48" t="n">
        <x:v>250000</x:v>
      </x:c>
      <x:c r="C10" t="str"/>
      <x:c r="D10" s="41" t="str">
        <x:v>Cash Left In Deal</x:v>
      </x:c>
      <x:c r="E10" s="52" t="n">
        <x:f>MAX(0,B21-E9)</x:f>
        <x:v>60000</x:v>
      </x:c>
      <x:c r="F10" t="str">
        <x:v>Auto-calculated. Verify assumptions before using.</x:v>
      </x:c>
      <x:c r="H10" s="46" t="str">
        <x:v>ARV appraisal risk considered</x:v>
      </x:c>
      <x:c r="I10" t="str">
        <x:v>Not Started</x:v>
      </x:c>
      <x:c r="J10" t="str"/>
      <x:c r="K10" t="str"/>
    </x:row>
    <x:row r="11">
      <x:c r="A11" s="35" t="str">
        <x:v>Refi LTV</x:v>
      </x:c>
      <x:c r="B11" s="48" t="n">
        <x:v>0.75</x:v>
      </x:c>
      <x:c r="C11" t="str"/>
      <x:c r="D11" s="41" t="str">
        <x:v>Monthly Debt Service</x:v>
      </x:c>
      <x:c r="E11" s="52" t="n">
        <x:f>IFERROR(PMT(B17/12,B18*12,-E8),0)</x:f>
        <x:v>1311.027203536461</x:v>
      </x:c>
      <x:c r="F11" t="str">
        <x:v>Auto-calculated. Verify assumptions before using.</x:v>
      </x:c>
      <x:c r="H11" s="46" t="str">
        <x:v>Lease/rent comps uploaded</x:v>
      </x:c>
      <x:c r="I11" t="str">
        <x:v>Not Started</x:v>
      </x:c>
      <x:c r="J11" t="str"/>
      <x:c r="K11" t="str"/>
    </x:row>
    <x:row r="12">
      <x:c r="A12" s="35" t="str">
        <x:v>Monthly Rent</x:v>
      </x:c>
      <x:c r="B12" s="48" t="n">
        <x:v>2300</x:v>
      </x:c>
      <x:c r="C12" t="str"/>
      <x:c r="D12" s="41" t="str">
        <x:v>Monthly NOI Before Debt</x:v>
      </x:c>
      <x:c r="E12" s="52" t="n">
        <x:f>B12-(B12*B15)-(B12*B16)-B13-B14</x:f>
        <x:v>1132</x:v>
      </x:c>
      <x:c r="F12" t="str">
        <x:v>Auto-calculated. Verify assumptions before using.</x:v>
      </x:c>
      <x:c r="H12" s="46" t="str">
        <x:v>CapEx reserves included</x:v>
      </x:c>
      <x:c r="I12" t="str">
        <x:v>Not Started</x:v>
      </x:c>
      <x:c r="J12" t="str"/>
      <x:c r="K12" t="str"/>
    </x:row>
    <x:row r="13">
      <x:c r="A13" s="35" t="str">
        <x:v>Monthly Taxes/Ins</x:v>
      </x:c>
      <x:c r="B13" s="48" t="n">
        <x:v>350</x:v>
      </x:c>
      <x:c r="C13" t="str"/>
      <x:c r="D13" s="41" t="str">
        <x:v>Monthly Cash Flow</x:v>
      </x:c>
      <x:c r="E13" s="52" t="n">
        <x:f>E12-E11</x:f>
        <x:v>-179.027203536461</x:v>
      </x:c>
      <x:c r="F13" t="str">
        <x:v>Auto-calculated. Verify assumptions before using.</x:v>
      </x:c>
      <x:c r="H13" s="46" t="str">
        <x:v>Cash-left-in target set</x:v>
      </x:c>
      <x:c r="I13" t="str">
        <x:v>Not Started</x:v>
      </x:c>
      <x:c r="J13" t="str"/>
      <x:c r="K13" t="str"/>
    </x:row>
    <x:row r="14">
      <x:c r="A14" s="35" t="str">
        <x:v>Monthly Operating Expenses</x:v>
      </x:c>
      <x:c r="B14" s="48" t="n">
        <x:v>450</x:v>
      </x:c>
      <x:c r="C14" t="str"/>
      <x:c r="D14" s="41" t="str">
        <x:v>Decision</x:v>
      </x:c>
      <x:c r="E14" s="52" t="str">
        <x:f>IF(AND(E13&gt;150,E10&lt;10000),"GO",IF(E13&gt;0,"MAYBE - MORE CASH LEFT IN","NO"))</x:f>
        <x:v>NO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Vacancy %</x:v>
      </x:c>
      <x:c r="B15" s="48" t="n">
        <x:v>0.08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Management %</x:v>
      </x:c>
      <x:c r="B16" s="48" t="n">
        <x:v>0.08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Refi Interest Rate</x:v>
      </x:c>
      <x:c r="B17" s="48" t="n">
        <x:v>0.075</x:v>
      </x:c>
      <x:c r="C17" t="str"/>
      <x:c r="E17" s="53"/>
    </x:row>
    <x:row r="18">
      <x:c r="A18" s="35" t="str">
        <x:v>Refi Amort Years</x:v>
      </x:c>
      <x:c r="B18" s="48" t="n">
        <x:v>30</x:v>
      </x:c>
      <x:c r="C18" t="str"/>
      <x:c r="E18" s="53"/>
    </x:row>
    <x:row r="19">
      <x:c r="A19" s="35" t="str">
        <x:v>Closing Costs</x:v>
      </x:c>
      <x:c r="B19" s="48" t="n">
        <x:v>7000</x:v>
      </x:c>
      <x:c r="C19" t="str"/>
      <x:c r="E19" s="53"/>
    </x:row>
    <x:row r="20">
      <x:c r="A20" s="35" t="str">
        <x:v>Seasoning Months</x:v>
      </x:c>
      <x:c r="B20" s="48" t="n">
        <x:v>6</x:v>
      </x:c>
      <x:c r="C20" t="str"/>
      <x:c r="E20" s="53"/>
    </x:row>
    <x:row r="21">
      <x:c r="A21" s="35" t="str">
        <x:v>Cash Invested</x:v>
      </x:c>
      <x:c r="B21" s="48" t="n">
        <x:v>60000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Long-Term Rental Buy &amp; Hold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conventional rental cash flow, cap rate, DSCR, cash-on-cash, reserves and sensitivity.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220000</x:v>
      </x:c>
      <x:c r="C8" t="str"/>
      <x:c r="D8" s="41" t="str">
        <x:v>Loan Amount</x:v>
      </x:c>
      <x:c r="E8" s="52" t="n">
        <x:f>B8*(1-B9)</x:f>
        <x:v>176000</x:v>
      </x:c>
      <x:c r="F8" t="str">
        <x:v>Auto-calculated. Verify assumptions before using.</x:v>
      </x:c>
      <x:c r="H8" s="46" t="str">
        <x:v>Rent comps verified</x:v>
      </x:c>
      <x:c r="I8" t="str">
        <x:v>Not Started</x:v>
      </x:c>
      <x:c r="J8" t="str"/>
      <x:c r="K8" t="str"/>
    </x:row>
    <x:row r="9">
      <x:c r="A9" s="35" t="str">
        <x:v>Down Payment %</x:v>
      </x:c>
      <x:c r="B9" s="48" t="n">
        <x:v>0.2</x:v>
      </x:c>
      <x:c r="C9" t="str"/>
      <x:c r="D9" s="41" t="str">
        <x:v>Down Payment</x:v>
      </x:c>
      <x:c r="E9" s="52" t="n">
        <x:f>B8*B9</x:f>
        <x:v>44000</x:v>
      </x:c>
      <x:c r="F9" t="str">
        <x:v>Auto-calculated. Verify assumptions before using.</x:v>
      </x:c>
      <x:c r="H9" s="46" t="str">
        <x:v>Expense assumptions sourced</x:v>
      </x:c>
      <x:c r="I9" t="str">
        <x:v>Not Started</x:v>
      </x:c>
      <x:c r="J9" t="str"/>
      <x:c r="K9" t="str"/>
    </x:row>
    <x:row r="10">
      <x:c r="A10" s="35" t="str">
        <x:v>Loan Interest Rate</x:v>
      </x:c>
      <x:c r="B10" s="48" t="n">
        <x:v>0.075</x:v>
      </x:c>
      <x:c r="C10" t="str"/>
      <x:c r="D10" s="41" t="str">
        <x:v>Monthly Debt Service</x:v>
      </x:c>
      <x:c r="E10" s="52" t="n">
        <x:f>IFERROR(PMT(B10/12,B11*12,-E8),0)</x:f>
        <x:v>1230.6175350528913</x:v>
      </x:c>
      <x:c r="F10" t="str">
        <x:v>Auto-calculated. Verify assumptions before using.</x:v>
      </x:c>
      <x:c r="H10" s="46" t="str">
        <x:v>Insurance quote obtained</x:v>
      </x:c>
      <x:c r="I10" t="str">
        <x:v>Not Started</x:v>
      </x:c>
      <x:c r="J10" t="str"/>
      <x:c r="K10" t="str"/>
    </x:row>
    <x:row r="11">
      <x:c r="A11" s="35" t="str">
        <x:v>Amortization Years</x:v>
      </x:c>
      <x:c r="B11" s="48" t="n">
        <x:v>30</x:v>
      </x:c>
      <x:c r="C11" t="str"/>
      <x:c r="D11" s="41" t="str">
        <x:v>Monthly NOI</x:v>
      </x:c>
      <x:c r="E11" s="52" t="n">
        <x:f>B12-(B12*B15)-(B12*B16)-B13-B14-B17</x:f>
        <x:v>916</x:v>
      </x:c>
      <x:c r="F11" t="str">
        <x:v>Auto-calculated. Verify assumptions before using.</x:v>
      </x:c>
      <x:c r="H11" s="46" t="str">
        <x:v>Vacancy/CapEx reserves included</x:v>
      </x:c>
      <x:c r="I11" t="str">
        <x:v>Not Started</x:v>
      </x:c>
      <x:c r="J11" t="str"/>
      <x:c r="K11" t="str"/>
    </x:row>
    <x:row r="12">
      <x:c r="A12" s="35" t="str">
        <x:v>Monthly Rent</x:v>
      </x:c>
      <x:c r="B12" s="48" t="n">
        <x:v>2400</x:v>
      </x:c>
      <x:c r="C12" t="str"/>
      <x:c r="D12" s="41" t="str">
        <x:v>Monthly Cash Flow</x:v>
      </x:c>
      <x:c r="E12" s="52" t="n">
        <x:f>E11-E10</x:f>
        <x:v>-314.6175350528913</x:v>
      </x:c>
      <x:c r="F12" t="str">
        <x:v>Auto-calculated. Verify assumptions before using.</x:v>
      </x:c>
      <x:c r="H12" s="46" t="str">
        <x:v>Lender terms confirmed</x:v>
      </x:c>
      <x:c r="I12" t="str">
        <x:v>Not Started</x:v>
      </x:c>
      <x:c r="J12" t="str"/>
      <x:c r="K12" t="str"/>
    </x:row>
    <x:row r="13">
      <x:c r="A13" s="35" t="str">
        <x:v>Taxes/Insurance Monthly</x:v>
      </x:c>
      <x:c r="B13" s="48" t="n">
        <x:v>400</x:v>
      </x:c>
      <x:c r="C13" t="str"/>
      <x:c r="D13" s="41" t="str">
        <x:v>Annual NOI</x:v>
      </x:c>
      <x:c r="E13" s="52" t="n">
        <x:f>E11*12</x:f>
        <x:v>10992</x:v>
      </x:c>
      <x:c r="F13" t="str">
        <x:v>Auto-calculated. Verify assumptions before using.</x:v>
      </x:c>
      <x:c r="H13" s="46" t="str">
        <x:v>Lease/tenant law considered</x:v>
      </x:c>
      <x:c r="I13" t="str">
        <x:v>Not Started</x:v>
      </x:c>
      <x:c r="J13" t="str"/>
      <x:c r="K13" t="str"/>
    </x:row>
    <x:row r="14">
      <x:c r="A14" s="35" t="str">
        <x:v>Operating Expenses Monthly</x:v>
      </x:c>
      <x:c r="B14" s="48" t="n">
        <x:v>450</x:v>
      </x:c>
      <x:c r="C14" t="str"/>
      <x:c r="D14" s="41" t="str">
        <x:v>Cap Rate</x:v>
      </x:c>
      <x:c r="E14" s="52" t="n">
        <x:f>IFERROR(E13/B8,0)</x:f>
        <x:v>0.04996363636363636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Vacancy %</x:v>
      </x:c>
      <x:c r="B15" s="48" t="n">
        <x:v>0.08</x:v>
      </x:c>
      <x:c r="C15" t="str"/>
      <x:c r="D15" s="41" t="str">
        <x:v>Cash Needed</x:v>
      </x:c>
      <x:c r="E15" s="52" t="n">
        <x:f>E9+B18+B19</x:f>
        <x:v>58500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Management %</x:v>
      </x:c>
      <x:c r="B16" s="48" t="n">
        <x:v>0.08</x:v>
      </x:c>
      <x:c r="C16" t="str"/>
      <x:c r="D16" s="41" t="str">
        <x:v>Cash-on-Cash</x:v>
      </x:c>
      <x:c r="E16" s="52" t="n">
        <x:f>IFERROR((E12*12)/E15,0)</x:f>
        <x:v>-0.06453693026725975</x:v>
      </x:c>
      <x:c r="F16" t="str">
        <x:v>Auto-calculated. Verify assumptions before using.</x:v>
      </x:c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Repairs/CapEx Monthly</x:v>
      </x:c>
      <x:c r="B17" s="48" t="n">
        <x:v>250</x:v>
      </x:c>
      <x:c r="C17" t="str"/>
      <x:c r="D17" s="41" t="str">
        <x:v>DSCR</x:v>
      </x:c>
      <x:c r="E17" s="52" t="n">
        <x:f>IFERROR(E13/(E10*12),0)</x:f>
        <x:v>0.7443417421811974</x:v>
      </x:c>
      <x:c r="F17" t="str">
        <x:v>Auto-calculated. Verify assumptions before using.</x:v>
      </x:c>
    </x:row>
    <x:row r="18">
      <x:c r="A18" s="35" t="str">
        <x:v>Closing Costs</x:v>
      </x:c>
      <x:c r="B18" s="48" t="n">
        <x:v>6500</x:v>
      </x:c>
      <x:c r="C18" t="str"/>
      <x:c r="D18" s="41" t="str">
        <x:v>Decision</x:v>
      </x:c>
      <x:c r="E18" s="52" t="str">
        <x:f>IF(AND(E17&gt;=B20,E16&gt;=B21,E12&gt;0),"GO",IF(E12&gt;0,"MAYBE","NO"))</x:f>
        <x:v>NO</x:v>
      </x:c>
      <x:c r="F18" t="str">
        <x:v>Auto-calculated. Verify assumptions before using.</x:v>
      </x:c>
    </x:row>
    <x:row r="19">
      <x:c r="A19" s="35" t="str">
        <x:v>Initial Repairs</x:v>
      </x:c>
      <x:c r="B19" s="48" t="n">
        <x:v>8000</x:v>
      </x:c>
      <x:c r="C19" t="str"/>
      <x:c r="E19" s="53"/>
    </x:row>
    <x:row r="20">
      <x:c r="A20" s="35" t="str">
        <x:v>Target DSCR</x:v>
      </x:c>
      <x:c r="B20" s="48" t="n">
        <x:v>1.2</x:v>
      </x:c>
      <x:c r="C20" t="str"/>
      <x:c r="E20" s="53"/>
    </x:row>
    <x:row r="21">
      <x:c r="A21" s="35" t="str">
        <x:v>Target CoC</x:v>
      </x:c>
      <x:c r="B21" s="48" t="n">
        <x:v>0.08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DSCR Loan Rental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rental qualification under debt-service-coverage-ratio lending.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250000</x:v>
      </x:c>
      <x:c r="C8" t="str"/>
      <x:c r="D8" s="41" t="str">
        <x:v>Loan Amount</x:v>
      </x:c>
      <x:c r="E8" s="52" t="n">
        <x:f>B8*(1-B9)</x:f>
        <x:v>187500</x:v>
      </x:c>
      <x:c r="F8" t="str">
        <x:v>Auto-calculated. Verify assumptions before using.</x:v>
      </x:c>
      <x:c r="H8" s="46" t="str">
        <x:v>Lender DSCR matrix uploaded</x:v>
      </x:c>
      <x:c r="I8" t="str">
        <x:v>Not Started</x:v>
      </x:c>
      <x:c r="J8" t="str"/>
      <x:c r="K8" t="str"/>
    </x:row>
    <x:row r="9">
      <x:c r="A9" s="35" t="str">
        <x:v>Down Payment %</x:v>
      </x:c>
      <x:c r="B9" s="48" t="n">
        <x:v>0.25</x:v>
      </x:c>
      <x:c r="C9" t="str"/>
      <x:c r="D9" s="41" t="str">
        <x:v>Monthly Debt Service</x:v>
      </x:c>
      <x:c r="E9" s="52" t="n">
        <x:f>IFERROR(PMT(B10/12,B11*12,-E8),0)</x:f>
        <x:v>1375.8085760238303</x:v>
      </x:c>
      <x:c r="F9" t="str">
        <x:v>Auto-calculated. Verify assumptions before using.</x:v>
      </x:c>
      <x:c r="H9" s="46" t="str">
        <x:v>Rent schedule/appraisal requirement known</x:v>
      </x:c>
      <x:c r="I9" t="str">
        <x:v>Not Started</x:v>
      </x:c>
      <x:c r="J9" t="str"/>
      <x:c r="K9" t="str"/>
    </x:row>
    <x:row r="10">
      <x:c r="A10" s="35" t="str">
        <x:v>Interest Rate</x:v>
      </x:c>
      <x:c r="B10" s="48" t="n">
        <x:v>0.08</x:v>
      </x:c>
      <x:c r="C10" t="str"/>
      <x:c r="D10" s="41" t="str">
        <x:v>Underwritten Monthly Income</x:v>
      </x:c>
      <x:c r="E10" s="52" t="n">
        <x:f>B12*(1-B14)</x:f>
        <x:v>2565</x:v>
      </x:c>
      <x:c r="F10" t="str">
        <x:v>Auto-calculated. Verify assumptions before using.</x:v>
      </x:c>
      <x:c r="H10" s="46" t="str">
        <x:v>Insurance/HOA verified</x:v>
      </x:c>
      <x:c r="I10" t="str">
        <x:v>Not Started</x:v>
      </x:c>
      <x:c r="J10" t="str"/>
      <x:c r="K10" t="str"/>
    </x:row>
    <x:row r="11">
      <x:c r="A11" s="35" t="str">
        <x:v>Amortization Years</x:v>
      </x:c>
      <x:c r="B11" s="48" t="n">
        <x:v>30</x:v>
      </x:c>
      <x:c r="C11" t="str"/>
      <x:c r="D11" s="41" t="str">
        <x:v>Monthly Obligations</x:v>
      </x:c>
      <x:c r="E11" s="52" t="n">
        <x:f>E9+B13</x:f>
        <x:v>1925.8085760238303</x:v>
      </x:c>
      <x:c r="F11" t="str">
        <x:v>Auto-calculated. Verify assumptions before using.</x:v>
      </x:c>
      <x:c r="H11" s="46" t="str">
        <x:v>Entity docs ready</x:v>
      </x:c>
      <x:c r="I11" t="str">
        <x:v>Not Started</x:v>
      </x:c>
      <x:c r="J11" t="str"/>
      <x:c r="K11" t="str"/>
    </x:row>
    <x:row r="12">
      <x:c r="A12" s="35" t="str">
        <x:v>Monthly Market Rent</x:v>
      </x:c>
      <x:c r="B12" s="48" t="n">
        <x:v>2700</x:v>
      </x:c>
      <x:c r="C12" t="str"/>
      <x:c r="D12" s="41" t="str">
        <x:v>DSCR</x:v>
      </x:c>
      <x:c r="E12" s="52" t="n">
        <x:f>IFERROR(E10/E11,0)</x:f>
        <x:v>1.3319080784736625</x:v>
      </x:c>
      <x:c r="F12" t="str">
        <x:v>Auto-calculated. Verify assumptions before using.</x:v>
      </x:c>
      <x:c r="H12" s="46" t="str">
        <x:v>Prepayment penalty understood</x:v>
      </x:c>
      <x:c r="I12" t="str">
        <x:v>Not Started</x:v>
      </x:c>
      <x:c r="J12" t="str"/>
      <x:c r="K12" t="str"/>
    </x:row>
    <x:row r="13">
      <x:c r="A13" s="35" t="str">
        <x:v>Taxes/Insurance/HOA Monthly</x:v>
      </x:c>
      <x:c r="B13" s="48" t="n">
        <x:v>550</x:v>
      </x:c>
      <x:c r="C13" t="str"/>
      <x:c r="D13" s="41" t="str">
        <x:v>Cash Needed</x:v>
      </x:c>
      <x:c r="E13" s="52" t="n">
        <x:f>B8*B9+B16+B17+B18</x:f>
        <x:v>81500</x:v>
      </x:c>
      <x:c r="F13" t="str">
        <x:v>Auto-calculated. Verify assumptions before using.</x:v>
      </x:c>
      <x:c r="H13" s="46" t="str">
        <x:v>STR income rules checked if applicable</x:v>
      </x:c>
      <x:c r="I13" t="str">
        <x:v>Not Started</x:v>
      </x:c>
      <x:c r="J13" t="str"/>
      <x:c r="K13" t="str"/>
    </x:row>
    <x:row r="14">
      <x:c r="A14" s="35" t="str">
        <x:v>Underwriting Vacancy %</x:v>
      </x:c>
      <x:c r="B14" s="48" t="n">
        <x:v>0.05</x:v>
      </x:c>
      <x:c r="C14" t="str"/>
      <x:c r="D14" s="41" t="str">
        <x:v>Decision</x:v>
      </x:c>
      <x:c r="E14" s="52" t="str">
        <x:f>IF(AND(E12&gt;=B15,B19=1,B21=1),"GO",IF(E12&gt;=1,"MAYBE - LENDER SHOP","NO"))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Lender Min DSCR</x:v>
      </x:c>
      <x:c r="B15" s="48" t="n">
        <x:v>1.15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Closing Costs</x:v>
      </x:c>
      <x:c r="B16" s="48" t="n">
        <x:v>8000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Repairs</x:v>
      </x:c>
      <x:c r="B17" s="48" t="n">
        <x:v>5000</x:v>
      </x:c>
      <x:c r="C17" t="str"/>
      <x:c r="E17" s="53"/>
    </x:row>
    <x:row r="18">
      <x:c r="A18" s="35" t="str">
        <x:v>Prepaids/Reserves</x:v>
      </x:c>
      <x:c r="B18" s="48" t="n">
        <x:v>6000</x:v>
      </x:c>
      <x:c r="C18" t="str"/>
      <x:c r="E18" s="53"/>
    </x:row>
    <x:row r="19">
      <x:c r="A19" s="35" t="str">
        <x:v>Rent Schedule Accepted Yes=1</x:v>
      </x:c>
      <x:c r="B19" s="48" t="n">
        <x:v>1</x:v>
      </x:c>
      <x:c r="C19" t="str"/>
      <x:c r="E19" s="53"/>
    </x:row>
    <x:row r="20">
      <x:c r="A20" s="35" t="str">
        <x:v>Short-Term Rental Income Accepted Yes=1</x:v>
      </x:c>
      <x:c r="B20" s="48" t="n">
        <x:v>0</x:v>
      </x:c>
      <x:c r="C20" t="str"/>
      <x:c r="E20" s="53"/>
    </x:row>
    <x:row r="21">
      <x:c r="A21" s="35" t="str">
        <x:v>Credit/Entity Ready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Short/Mid-Term Rental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Underwrite furnished STR/MTR performance, seasonality, occupancy, platform fees, furnishing and regulation risk.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300000</x:v>
      </x:c>
      <x:c r="C8" t="str"/>
      <x:c r="D8" s="41" t="str">
        <x:v>Loan Amount</x:v>
      </x:c>
      <x:c r="E8" s="52" t="n">
        <x:f>B8*(1-B9)</x:f>
        <x:v>225000</x:v>
      </x:c>
      <x:c r="F8" t="str">
        <x:v>Auto-calculated. Verify assumptions before using.</x:v>
      </x:c>
      <x:c r="H8" s="46" t="str">
        <x:v>STR ordinance verified</x:v>
      </x:c>
      <x:c r="I8" t="str">
        <x:v>Not Started</x:v>
      </x:c>
      <x:c r="J8" t="str"/>
      <x:c r="K8" t="str"/>
    </x:row>
    <x:row r="9">
      <x:c r="A9" s="35" t="str">
        <x:v>Down Payment %</x:v>
      </x:c>
      <x:c r="B9" s="48" t="n">
        <x:v>0.25</x:v>
      </x:c>
      <x:c r="C9" t="str"/>
      <x:c r="D9" s="41" t="str">
        <x:v>Monthly Debt Service</x:v>
      </x:c>
      <x:c r="E9" s="52" t="n">
        <x:f>IFERROR(PMT(B10/12,B11*12,-E8),0)</x:f>
        <x:v>1650.9702912285964</x:v>
      </x:c>
      <x:c r="F9" t="str">
        <x:v>Auto-calculated. Verify assumptions before using.</x:v>
      </x:c>
      <x:c r="H9" s="46" t="str">
        <x:v>ADR/occupancy comps sourced</x:v>
      </x:c>
      <x:c r="I9" t="str">
        <x:v>Not Started</x:v>
      </x:c>
      <x:c r="J9" t="str"/>
      <x:c r="K9" t="str"/>
    </x:row>
    <x:row r="10">
      <x:c r="A10" s="35" t="str">
        <x:v>Interest Rate</x:v>
      </x:c>
      <x:c r="B10" s="48" t="n">
        <x:v>0.08</x:v>
      </x:c>
      <x:c r="C10" t="str"/>
      <x:c r="D10" s="41" t="str">
        <x:v>STR Gross Monthly</x:v>
      </x:c>
      <x:c r="E10" s="52" t="n">
        <x:f>B12*30*B13</x:f>
        <x:v>3240</x:v>
      </x:c>
      <x:c r="F10" t="str">
        <x:v>Auto-calculated. Verify assumptions before using.</x:v>
      </x:c>
      <x:c r="H10" s="46" t="str">
        <x:v>Furnishing budget included</x:v>
      </x:c>
      <x:c r="I10" t="str">
        <x:v>Not Started</x:v>
      </x:c>
      <x:c r="J10" t="str"/>
      <x:c r="K10" t="str"/>
    </x:row>
    <x:row r="11">
      <x:c r="A11" s="35" t="str">
        <x:v>Amort Years</x:v>
      </x:c>
      <x:c r="B11" s="48" t="n">
        <x:v>30</x:v>
      </x:c>
      <x:c r="C11" t="str"/>
      <x:c r="D11" s="41" t="str">
        <x:v>STR Net Before Debt</x:v>
      </x:c>
      <x:c r="E11" s="52" t="n">
        <x:f>E10*(1-B15)-B16-B18-B19</x:f>
        <x:v>1156.8000000000002</x:v>
      </x:c>
      <x:c r="F11" t="str">
        <x:v>Auto-calculated. Verify assumptions before using.</x:v>
      </x:c>
      <x:c r="H11" s="46" t="str">
        <x:v>Platform/cleaning fees included</x:v>
      </x:c>
      <x:c r="I11" t="str">
        <x:v>Not Started</x:v>
      </x:c>
      <x:c r="J11" t="str"/>
      <x:c r="K11" t="str"/>
    </x:row>
    <x:row r="12">
      <x:c r="A12" s="35" t="str">
        <x:v>Avg Daily Rate</x:v>
      </x:c>
      <x:c r="B12" s="48" t="n">
        <x:v>180</x:v>
      </x:c>
      <x:c r="C12" t="str"/>
      <x:c r="D12" s="41" t="str">
        <x:v>MTR Net Before Debt</x:v>
      </x:c>
      <x:c r="E12" s="52" t="n">
        <x:f>B14-B16-B18-B19</x:f>
        <x:v>1700</x:v>
      </x:c>
      <x:c r="F12" t="str">
        <x:v>Auto-calculated. Verify assumptions before using.</x:v>
      </x:c>
      <x:c r="H12" s="46" t="str">
        <x:v>Insurance quote for STR/MTR</x:v>
      </x:c>
      <x:c r="I12" t="str">
        <x:v>Not Started</x:v>
      </x:c>
      <x:c r="J12" t="str"/>
      <x:c r="K12" t="str"/>
    </x:row>
    <x:row r="13">
      <x:c r="A13" s="35" t="str">
        <x:v>Occupancy %</x:v>
      </x:c>
      <x:c r="B13" s="48" t="n">
        <x:v>0.6</x:v>
      </x:c>
      <x:c r="C13" t="str"/>
      <x:c r="D13" s="41" t="str">
        <x:v>Best Income Path</x:v>
      </x:c>
      <x:c r="E13" s="52" t="str">
        <x:f>IF(E11&gt;E12,"STR","MTR")</x:f>
        <x:v>MTR</x:v>
      </x:c>
      <x:c r="F13" t="str">
        <x:v>Auto-calculated. Verify assumptions before using.</x:v>
      </x:c>
      <x:c r="H13" s="46" t="str">
        <x:v>Backup MTR/LTR exit</x:v>
      </x:c>
      <x:c r="I13" t="str">
        <x:v>Not Started</x:v>
      </x:c>
      <x:c r="J13" t="str"/>
      <x:c r="K13" t="str"/>
    </x:row>
    <x:row r="14">
      <x:c r="A14" s="35" t="str">
        <x:v>Monthly MTR Rent Alternative</x:v>
      </x:c>
      <x:c r="B14" s="48" t="n">
        <x:v>3200</x:v>
      </x:c>
      <x:c r="C14" t="str"/>
      <x:c r="D14" s="41" t="str">
        <x:v>Monthly Cash Flow</x:v>
      </x:c>
      <x:c r="E14" s="52" t="n">
        <x:f>MAX(E11,E12)-E9</x:f>
        <x:v>49.02970877140365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Cleaning/Platform Fees %</x:v>
      </x:c>
      <x:c r="B15" s="48" t="n">
        <x:v>0.18</x:v>
      </x:c>
      <x:c r="C15" t="str"/>
      <x:c r="D15" s="41" t="str">
        <x:v>Cash Needed</x:v>
      </x:c>
      <x:c r="E15" s="52" t="n">
        <x:f>B8*B9+B17+10000</x:f>
        <x:v>103000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Utilities Monthly</x:v>
      </x:c>
      <x:c r="B16" s="48" t="n">
        <x:v>550</x:v>
      </x:c>
      <x:c r="C16" t="str"/>
      <x:c r="D16" s="41" t="str">
        <x:v>Decision</x:v>
      </x:c>
      <x:c r="E16" s="52" t="str">
        <x:f>IF(AND(E15&gt;300,B20=1,B21&lt;=7),"GO",IF(B20=0,"NO - LEGAL ISSUE","MAYBE"))</x:f>
        <x:v>GO</x:v>
      </x:c>
      <x:c r="F16" t="str">
        <x:v>Auto-calculated. Verify assumptions before using.</x:v>
      </x:c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Furnishing Budget</x:v>
      </x:c>
      <x:c r="B17" s="48" t="n">
        <x:v>18000</x:v>
      </x:c>
      <x:c r="C17" t="str"/>
      <x:c r="E17" s="53"/>
    </x:row>
    <x:row r="18">
      <x:c r="A18" s="35" t="str">
        <x:v>Taxes/Ins/HOA Monthly</x:v>
      </x:c>
      <x:c r="B18" s="48" t="n">
        <x:v>650</x:v>
      </x:c>
      <x:c r="C18" t="str"/>
      <x:c r="E18" s="53"/>
    </x:row>
    <x:row r="19">
      <x:c r="A19" s="35" t="str">
        <x:v>Repairs/CapEx Monthly</x:v>
      </x:c>
      <x:c r="B19" s="48" t="n">
        <x:v>300</x:v>
      </x:c>
      <x:c r="C19" t="str"/>
      <x:c r="E19" s="53"/>
    </x:row>
    <x:row r="20">
      <x:c r="A20" s="35" t="str">
        <x:v>Local STR Legal? Yes=1</x:v>
      </x:c>
      <x:c r="B20" s="48" t="n">
        <x:v>1</x:v>
      </x:c>
      <x:c r="C20" t="str"/>
      <x:c r="E20" s="53"/>
    </x:row>
    <x:row r="21">
      <x:c r="A21" s="35" t="str">
        <x:v>Seasonality Risk 1-10</x:v>
      </x:c>
      <x:c r="B21" s="48" t="n">
        <x:v>6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Co-Living / Room Rental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renting by room with higher gross income but higher management and legal risk.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280000</x:v>
      </x:c>
      <x:c r="C8" t="str"/>
      <x:c r="D8" s="41" t="str">
        <x:v>Room Gross Monthly</x:v>
      </x:c>
      <x:c r="E8" s="52" t="n">
        <x:f>B9*B10</x:f>
        <x:v>3750</x:v>
      </x:c>
      <x:c r="F8" t="str">
        <x:v>Auto-calculated. Verify assumptions before using.</x:v>
      </x:c>
      <x:c r="H8" s="46" t="str">
        <x:v>Zoning/licensing checked</x:v>
      </x:c>
      <x:c r="I8" t="str">
        <x:v>Not Started</x:v>
      </x:c>
      <x:c r="J8" t="str"/>
      <x:c r="K8" t="str"/>
    </x:row>
    <x:row r="9">
      <x:c r="A9" s="35" t="str">
        <x:v>Rooms Rentable</x:v>
      </x:c>
      <x:c r="B9" s="48" t="n">
        <x:v>5</x:v>
      </x:c>
      <x:c r="C9" t="str"/>
      <x:c r="D9" s="41" t="str">
        <x:v>Room Net Before Debt</x:v>
      </x:c>
      <x:c r="E9" s="52" t="n">
        <x:f>E8*(1-B12)-(E8*B14)-B13-B15-B20</x:f>
        <x:v>1650</x:v>
      </x:c>
      <x:c r="F9" t="str">
        <x:v>Auto-calculated. Verify assumptions before using.</x:v>
      </x:c>
      <x:c r="H9" s="46" t="str">
        <x:v>Room lease/legal review</x:v>
      </x:c>
      <x:c r="I9" t="str">
        <x:v>Not Started</x:v>
      </x:c>
      <x:c r="J9" t="str"/>
      <x:c r="K9" t="str"/>
    </x:row>
    <x:row r="10">
      <x:c r="A10" s="35" t="str">
        <x:v>Avg Room Rent</x:v>
      </x:c>
      <x:c r="B10" s="48" t="n">
        <x:v>750</x:v>
      </x:c>
      <x:c r="C10" t="str"/>
      <x:c r="D10" s="41" t="str">
        <x:v>Whole-House Net Before Debt</x:v>
      </x:c>
      <x:c r="E10" s="52" t="n">
        <x:f>B11*(1-B12)-B13-B15</x:f>
        <x:v>1062</x:v>
      </x:c>
      <x:c r="F10" t="str">
        <x:v>Auto-calculated. Verify assumptions before using.</x:v>
      </x:c>
      <x:c r="H10" s="46" t="str">
        <x:v>Tenant screening plan</x:v>
      </x:c>
      <x:c r="I10" t="str">
        <x:v>Not Started</x:v>
      </x:c>
      <x:c r="J10" t="str"/>
      <x:c r="K10" t="str"/>
    </x:row>
    <x:row r="11">
      <x:c r="A11" s="35" t="str">
        <x:v>Whole-House Market Rent</x:v>
      </x:c>
      <x:c r="B11" s="48" t="n">
        <x:v>2400</x:v>
      </x:c>
      <x:c r="C11" t="str"/>
      <x:c r="D11" s="41" t="str">
        <x:v>Incremental Net</x:v>
      </x:c>
      <x:c r="E11" s="52" t="n">
        <x:f>E9-E10</x:f>
        <x:v>588</x:v>
      </x:c>
      <x:c r="F11" t="str">
        <x:v>Auto-calculated. Verify assumptions before using.</x:v>
      </x:c>
      <x:c r="H11" s="46" t="str">
        <x:v>Utilities cap/rules written</x:v>
      </x:c>
      <x:c r="I11" t="str">
        <x:v>Not Started</x:v>
      </x:c>
      <x:c r="J11" t="str"/>
      <x:c r="K11" t="str"/>
    </x:row>
    <x:row r="12">
      <x:c r="A12" s="35" t="str">
        <x:v>Vacancy %</x:v>
      </x:c>
      <x:c r="B12" s="48" t="n">
        <x:v>0.12</x:v>
      </x:c>
      <x:c r="C12" t="str"/>
      <x:c r="D12" s="41" t="str">
        <x:v>Monthly Cash Flow</x:v>
      </x:c>
      <x:c r="E12" s="52" t="n">
        <x:f>E9-B16</x:f>
        <x:v>-250</x:v>
      </x:c>
      <x:c r="F12" t="str">
        <x:v>Auto-calculated. Verify assumptions before using.</x:v>
      </x:c>
      <x:c r="H12" s="46" t="str">
        <x:v>Common area furnishing budget</x:v>
      </x:c>
      <x:c r="I12" t="str">
        <x:v>Not Started</x:v>
      </x:c>
      <x:c r="J12" t="str"/>
      <x:c r="K12" t="str"/>
    </x:row>
    <x:row r="13">
      <x:c r="A13" s="35" t="str">
        <x:v>Utilities Monthly</x:v>
      </x:c>
      <x:c r="B13" s="48" t="n">
        <x:v>700</x:v>
      </x:c>
      <x:c r="C13" t="str"/>
      <x:c r="D13" s="41" t="str">
        <x:v>Cash Needed</x:v>
      </x:c>
      <x:c r="E13" s="52" t="n">
        <x:f>B19</x:f>
        <x:v>10000</x:v>
      </x:c>
      <x:c r="F13" t="str">
        <x:v>Auto-calculated. Verify assumptions before using.</x:v>
      </x:c>
      <x:c r="H13" s="46" t="str">
        <x:v>Conflict/eviction process</x:v>
      </x:c>
      <x:c r="I13" t="str">
        <x:v>Not Started</x:v>
      </x:c>
      <x:c r="J13" t="str"/>
      <x:c r="K13" t="str"/>
    </x:row>
    <x:row r="14">
      <x:c r="A14" s="35" t="str">
        <x:v>Management %</x:v>
      </x:c>
      <x:c r="B14" s="48" t="n">
        <x:v>0.12</x:v>
      </x:c>
      <x:c r="C14" t="str"/>
      <x:c r="D14" s="41" t="str">
        <x:v>Decision</x:v>
      </x:c>
      <x:c r="E14" s="52" t="str">
        <x:f>IF(AND(E12&gt;500,B17=1,B18=1,B21=1),"GO",IF(E12&gt;0,"MAYBE - OPERATIONS RISK","NO"))</x:f>
        <x:v>NO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Repairs/CapEx Monthly</x:v>
      </x:c>
      <x:c r="B15" s="48" t="n">
        <x:v>350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Debt Service</x:v>
      </x:c>
      <x:c r="B16" s="48" t="n">
        <x:v>1900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Licensing/Zoning Legal Yes=1</x:v>
      </x:c>
      <x:c r="B17" s="48" t="n">
        <x:v>1</x:v>
      </x:c>
      <x:c r="C17" t="str"/>
      <x:c r="E17" s="53"/>
    </x:row>
    <x:row r="18">
      <x:c r="A18" s="35" t="str">
        <x:v>House Rules/Lease Ready Yes=1</x:v>
      </x:c>
      <x:c r="B18" s="48" t="n">
        <x:v>1</x:v>
      </x:c>
      <x:c r="C18" t="str"/>
      <x:c r="E18" s="53"/>
    </x:row>
    <x:row r="19">
      <x:c r="A19" s="35" t="str">
        <x:v>Furnishing/Setup Budget</x:v>
      </x:c>
      <x:c r="B19" s="48" t="n">
        <x:v>10000</x:v>
      </x:c>
      <x:c r="C19" t="str"/>
      <x:c r="E19" s="53"/>
    </x:row>
    <x:row r="20">
      <x:c r="A20" s="35" t="str">
        <x:v>Monthly Common Supplies</x:v>
      </x:c>
      <x:c r="B20" s="48" t="n">
        <x:v>150</x:v>
      </x:c>
      <x:c r="C20" t="str"/>
      <x:c r="E20" s="53"/>
    </x:row>
    <x:row r="21">
      <x:c r="A21" s="35" t="str">
        <x:v>Tenant Screening Plan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House Hack / Owner-Occupant Strategy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buying a property to occupy one unit/room and rent the rest.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350000</x:v>
      </x:c>
      <x:c r="C8" t="str"/>
      <x:c r="D8" s="41" t="str">
        <x:v>Loan Amount</x:v>
      </x:c>
      <x:c r="E8" s="52" t="n">
        <x:f>B8*(1-B9)</x:f>
        <x:v>337750</x:v>
      </x:c>
      <x:c r="F8" t="str">
        <x:v>Auto-calculated. Verify assumptions before using.</x:v>
      </x:c>
      <x:c r="H8" s="46" t="str">
        <x:v>Owner occupancy rules reviewed</x:v>
      </x:c>
      <x:c r="I8" t="str">
        <x:v>Not Started</x:v>
      </x:c>
      <x:c r="J8" t="str"/>
      <x:c r="K8" t="str"/>
    </x:row>
    <x:row r="9">
      <x:c r="A9" s="35" t="str">
        <x:v>Down Payment %</x:v>
      </x:c>
      <x:c r="B9" s="48" t="n">
        <x:v>0.035</x:v>
      </x:c>
      <x:c r="C9" t="str"/>
      <x:c r="D9" s="41" t="str">
        <x:v>Monthly Debt Service</x:v>
      </x:c>
      <x:c r="E9" s="52" t="n">
        <x:f>IFERROR(PMT(B10/12,B11*12,-E8),0)</x:f>
        <x:v>2247.0591774676914</x:v>
      </x:c>
      <x:c r="F9" t="str">
        <x:v>Auto-calculated. Verify assumptions before using.</x:v>
      </x:c>
      <x:c r="H9" s="46" t="str">
        <x:v>Room/unit leases legal</x:v>
      </x:c>
      <x:c r="I9" t="str">
        <x:v>Not Started</x:v>
      </x:c>
      <x:c r="J9" t="str"/>
      <x:c r="K9" t="str"/>
    </x:row>
    <x:row r="10">
      <x:c r="A10" s="35" t="str">
        <x:v>Interest Rate</x:v>
      </x:c>
      <x:c r="B10" s="48" t="n">
        <x:v>0.07</x:v>
      </x:c>
      <x:c r="C10" t="str"/>
      <x:c r="D10" s="41" t="str">
        <x:v>Monthly Housing Cost After Rents</x:v>
      </x:c>
      <x:c r="E10" s="52" t="n">
        <x:f>E9+B12+B15-(B13*(1-B16))</x:f>
        <x:v>1047.0591774676914</x:v>
      </x:c>
      <x:c r="F10" t="str">
        <x:v>Auto-calculated. Verify assumptions before using.</x:v>
      </x:c>
      <x:c r="H10" s="46" t="str">
        <x:v>Reserve fund ready</x:v>
      </x:c>
      <x:c r="I10" t="str">
        <x:v>Not Started</x:v>
      </x:c>
      <x:c r="J10" t="str"/>
      <x:c r="K10" t="str"/>
    </x:row>
    <x:row r="11">
      <x:c r="A11" s="35" t="str">
        <x:v>Amort Years</x:v>
      </x:c>
      <x:c r="B11" s="48" t="n">
        <x:v>30</x:v>
      </x:c>
      <x:c r="C11" t="str"/>
      <x:c r="D11" s="41" t="str">
        <x:v>Owner Rent Savings</x:v>
      </x:c>
      <x:c r="E11" s="52" t="n">
        <x:f>B14-E10</x:f>
        <x:v>252.94082253230863</x:v>
      </x:c>
      <x:c r="F11" t="str">
        <x:v>Auto-calculated. Verify assumptions before using.</x:v>
      </x:c>
      <x:c r="H11" s="46" t="str">
        <x:v>Insurance for rentals</x:v>
      </x:c>
      <x:c r="I11" t="str">
        <x:v>Not Started</x:v>
      </x:c>
      <x:c r="J11" t="str"/>
      <x:c r="K11" t="str"/>
    </x:row>
    <x:row r="12">
      <x:c r="A12" s="35" t="str">
        <x:v>Monthly Taxes/Ins/HOA</x:v>
      </x:c>
      <x:c r="B12" s="48" t="n">
        <x:v>700</x:v>
      </x:c>
      <x:c r="C12" t="str"/>
      <x:c r="D12" s="41" t="str">
        <x:v>Cash Needed</x:v>
      </x:c>
      <x:c r="E12" s="52" t="n">
        <x:f>B8*B9+B17+B18</x:f>
        <x:v>27250</x:v>
      </x:c>
      <x:c r="F12" t="str">
        <x:v>Auto-calculated. Verify assumptions before using.</x:v>
      </x:c>
      <x:c r="H12" s="46" t="str">
        <x:v>FHA/conventional requirements confirmed</x:v>
      </x:c>
      <x:c r="I12" t="str">
        <x:v>Not Started</x:v>
      </x:c>
      <x:c r="J12" t="str"/>
      <x:c r="K12" t="str"/>
    </x:row>
    <x:row r="13">
      <x:c r="A13" s="35" t="str">
        <x:v>Rent From Other Units/Rooms</x:v>
      </x:c>
      <x:c r="B13" s="48" t="n">
        <x:v>2500</x:v>
      </x:c>
      <x:c r="C13" t="str"/>
      <x:c r="D13" s="41" t="str">
        <x:v>Decision</x:v>
      </x:c>
      <x:c r="E13" s="52" t="str">
        <x:f>IF(AND(E11&gt;0,B19=1,B20=1,B21=1),"GO",IF(E10&lt;1500,"MAYBE","NO"))</x:f>
        <x:v>GO</x:v>
      </x:c>
      <x:c r="F13" t="str">
        <x:v>Auto-calculated. Verify assumptions before using.</x:v>
      </x:c>
      <x:c r="H13" s="46" t="str">
        <x:v>Exit if vacancy</x:v>
      </x:c>
      <x:c r="I13" t="str">
        <x:v>Not Started</x:v>
      </x:c>
      <x:c r="J13" t="str"/>
      <x:c r="K13" t="str"/>
    </x:row>
    <x:row r="14">
      <x:c r="A14" s="35" t="str">
        <x:v>Owner Unit Market Rent Value</x:v>
      </x:c>
      <x:c r="B14" s="48" t="n">
        <x:v>1300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Expenses/Repairs</x:v>
      </x:c>
      <x:c r="B15" s="48" t="n">
        <x:v>400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Vacancy %</x:v>
      </x:c>
      <x:c r="B16" s="48" t="n">
        <x:v>0.08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Closing Costs</x:v>
      </x:c>
      <x:c r="B17" s="48" t="n">
        <x:v>9000</x:v>
      </x:c>
      <x:c r="C17" t="str"/>
      <x:c r="E17" s="53"/>
    </x:row>
    <x:row r="18">
      <x:c r="A18" s="35" t="str">
        <x:v>Reserves Needed</x:v>
      </x:c>
      <x:c r="B18" s="48" t="n">
        <x:v>6000</x:v>
      </x:c>
      <x:c r="C18" t="str"/>
      <x:c r="E18" s="53"/>
    </x:row>
    <x:row r="19">
      <x:c r="A19" s="35" t="str">
        <x:v>Loan Program Verified Yes=1</x:v>
      </x:c>
      <x:c r="B19" s="48" t="n">
        <x:v>1</x:v>
      </x:c>
      <x:c r="C19" t="str"/>
      <x:c r="E19" s="53"/>
    </x:row>
    <x:row r="20">
      <x:c r="A20" s="35" t="str">
        <x:v>Occupancy Requirement Understood Yes=1</x:v>
      </x:c>
      <x:c r="B20" s="48" t="n">
        <x:v>1</x:v>
      </x:c>
      <x:c r="C20" t="str"/>
      <x:c r="E20" s="53"/>
    </x:row>
    <x:row r="21">
      <x:c r="A21" s="35" t="str">
        <x:v>Local Rental Legal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Gator / EMD Funding Deal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short-term EMD funding or deal connector opportunities with repayment controls.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EMD Amount Funded</x:v>
      </x:c>
      <x:c r="B8" s="48" t="n">
        <x:v>5000</x:v>
      </x:c>
      <x:c r="C8" t="str"/>
      <x:c r="D8" s="41" t="str">
        <x:v>Return on EMD</x:v>
      </x:c>
      <x:c r="E8" s="52" t="n">
        <x:f>IFERROR(B9/B8,0)</x:f>
        <x:v>0.2</x:v>
      </x:c>
      <x:c r="F8" t="str">
        <x:v>Auto-calculated. Verify assumptions before using.</x:v>
      </x:c>
      <x:c r="H8" s="46" t="str">
        <x:v>Funds go through escrow/title only</x:v>
      </x:c>
      <x:c r="I8" t="str">
        <x:v>Not Started</x:v>
      </x:c>
      <x:c r="J8" t="str"/>
      <x:c r="K8" t="str"/>
    </x:row>
    <x:row r="9">
      <x:c r="A9" s="35" t="str">
        <x:v>Fee Charged</x:v>
      </x:c>
      <x:c r="B9" s="48" t="n">
        <x:v>1000</x:v>
      </x:c>
      <x:c r="C9" t="str"/>
      <x:c r="D9" s="41" t="str">
        <x:v>Annualized Simple Return</x:v>
      </x:c>
      <x:c r="E9" s="52" t="n">
        <x:f>IFERROR(E8*(365/B10),0)</x:f>
        <x:v>5.214285714285715</x:v>
      </x:c>
      <x:c r="F9" t="str">
        <x:v>Auto-calculated. Verify assumptions before using.</x:v>
      </x:c>
      <x:c r="H9" s="46" t="str">
        <x:v>Written funding agreement</x:v>
      </x:c>
      <x:c r="I9" t="str">
        <x:v>Not Started</x:v>
      </x:c>
      <x:c r="J9" t="str"/>
      <x:c r="K9" t="str"/>
    </x:row>
    <x:row r="10">
      <x:c r="A10" s="35" t="str">
        <x:v>Expected Days Outstanding</x:v>
      </x:c>
      <x:c r="B10" s="48" t="n">
        <x:v>14</x:v>
      </x:c>
      <x:c r="C10" t="str"/>
      <x:c r="D10" s="41" t="str">
        <x:v>Max Allowed Exposure</x:v>
      </x:c>
      <x:c r="E10" s="52" t="n">
        <x:f>B19*B20</x:f>
        <x:v>5000</x:v>
      </x:c>
      <x:c r="F10" t="str">
        <x:v>Auto-calculated. Verify assumptions before using.</x:v>
      </x:c>
      <x:c r="H10" s="46" t="str">
        <x:v>Borrower vetted</x:v>
      </x:c>
      <x:c r="I10" t="str">
        <x:v>Not Started</x:v>
      </x:c>
      <x:c r="J10" t="str"/>
      <x:c r="K10" t="str"/>
    </x:row>
    <x:row r="11">
      <x:c r="A11" s="35" t="str">
        <x:v>Borrower Experience Score 1-10</x:v>
      </x:c>
      <x:c r="B11" s="48" t="n">
        <x:v>7</x:v>
      </x:c>
      <x:c r="C11" t="str"/>
      <x:c r="D11" s="41" t="str">
        <x:v>Capital Exposure Pass?</x:v>
      </x:c>
      <x:c r="E11" s="52" t="str">
        <x:f>IF(B8&lt;=E10,"YES","NO")</x:f>
        <x:v>YES</x:v>
      </x:c>
      <x:c r="F11" t="str">
        <x:v>Auto-calculated. Verify assumptions before using.</x:v>
      </x:c>
      <x:c r="H11" s="46" t="str">
        <x:v>Underlying contract reviewed</x:v>
      </x:c>
      <x:c r="I11" t="str">
        <x:v>Not Started</x:v>
      </x:c>
      <x:c r="J11" t="str"/>
      <x:c r="K11" t="str"/>
    </x:row>
    <x:row r="12">
      <x:c r="A12" s="35" t="str">
        <x:v>Deal Contract Price</x:v>
      </x:c>
      <x:c r="B12" s="48" t="n">
        <x:v>150000</x:v>
      </x:c>
      <x:c r="C12" t="str"/>
      <x:c r="D12" s="41" t="str">
        <x:v>Deal Equity Buffer</x:v>
      </x:c>
      <x:c r="E12" s="52" t="n">
        <x:f>B13-B12-B14</x:f>
        <x:v>35000</x:v>
      </x:c>
      <x:c r="F12" t="str">
        <x:v>Auto-calculated. Verify assumptions before using.</x:v>
      </x:c>
      <x:c r="H12" s="46" t="str">
        <x:v>Refundability known</x:v>
      </x:c>
      <x:c r="I12" t="str">
        <x:v>Not Started</x:v>
      </x:c>
      <x:c r="J12" t="str"/>
      <x:c r="K12" t="str"/>
    </x:row>
    <x:row r="13">
      <x:c r="A13" s="35" t="str">
        <x:v>ARV</x:v>
      </x:c>
      <x:c r="B13" s="48" t="n">
        <x:v>220000</x:v>
      </x:c>
      <x:c r="C13" t="str"/>
      <x:c r="D13" s="41" t="str">
        <x:v>Control Gate</x:v>
      </x:c>
      <x:c r="E13" s="52" t="str">
        <x:f>IF(AND(B15=1,B16=1,B17=1,B21=1),"PASS","FAIL")</x:f>
        <x:v>PASS</x:v>
      </x:c>
      <x:c r="F13" t="str">
        <x:v>Auto-calculated. Verify assumptions before using.</x:v>
      </x:c>
      <x:c r="H13" s="46" t="str">
        <x:v>Securities/lending law review if raising money</x:v>
      </x:c>
      <x:c r="I13" t="str">
        <x:v>Not Started</x:v>
      </x:c>
      <x:c r="J13" t="str"/>
      <x:c r="K13" t="str"/>
    </x:row>
    <x:row r="14">
      <x:c r="A14" s="35" t="str">
        <x:v>Repair Estimate</x:v>
      </x:c>
      <x:c r="B14" s="48" t="n">
        <x:v>35000</x:v>
      </x:c>
      <x:c r="C14" t="str"/>
      <x:c r="D14" s="41" t="str">
        <x:v>Decision</x:v>
      </x:c>
      <x:c r="E14" s="52" t="str">
        <x:f>IF(AND(E11="YES",E13="PASS",B11&gt;=7,B18&lt;=6),"GO",IF(E13="PASS","MAYBE - RISK REVIEW","NO"))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Exit Buyer/Funding Verified Yes=1</x:v>
      </x:c>
      <x:c r="B15" s="48" t="n">
        <x:v>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Escrow/Title Holds Funds Yes=1</x:v>
      </x:c>
      <x:c r="B16" s="48" t="n">
        <x:v>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Written Funding Agreement Yes=1</x:v>
      </x:c>
      <x:c r="B17" s="48" t="n">
        <x:v>1</x:v>
      </x:c>
      <x:c r="C17" t="str"/>
      <x:c r="E17" s="53"/>
    </x:row>
    <x:row r="18">
      <x:c r="A18" s="35" t="str">
        <x:v>Refundability / Risk Score 1-10</x:v>
      </x:c>
      <x:c r="B18" s="48" t="n">
        <x:v>5</x:v>
      </x:c>
      <x:c r="C18" t="str"/>
      <x:c r="E18" s="53"/>
    </x:row>
    <x:row r="19">
      <x:c r="A19" s="35" t="str">
        <x:v>Your Available Capital</x:v>
      </x:c>
      <x:c r="B19" s="48" t="n">
        <x:v>10000</x:v>
      </x:c>
      <x:c r="C19" t="str"/>
      <x:c r="E19" s="53"/>
    </x:row>
    <x:row r="20">
      <x:c r="A20" s="35" t="str">
        <x:v>Max Capital Exposure %</x:v>
      </x:c>
      <x:c r="B20" s="48" t="n">
        <x:v>0.5</x:v>
      </x:c>
      <x:c r="C20" t="str"/>
      <x:c r="E20" s="53"/>
    </x:row>
    <x:row r="21">
      <x:c r="A21" s="35" t="str">
        <x:v>State/Lending/Securities Review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Transactional Funding / Same-Day Funding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short-term funds used for double closes where the end buyer is ready.</x:v>
      </x:c>
    </x:row>
    <x:row r="3">
      <x:c r="A3" s="10" t="str">
        <x:v>Level: Advanced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A-B Purchase Price</x:v>
      </x:c>
      <x:c r="B8" s="48" t="n">
        <x:v>150000</x:v>
      </x:c>
      <x:c r="C8" t="str"/>
      <x:c r="D8" s="41" t="str">
        <x:v>Gross Spread</x:v>
      </x:c>
      <x:c r="E8" s="52" t="n">
        <x:f>B9-B8</x:f>
        <x:v>30000</x:v>
      </x:c>
      <x:c r="F8" t="str">
        <x:v>Auto-calculated. Verify assumptions before using.</x:v>
      </x:c>
      <x:c r="H8" s="46" t="str">
        <x:v>End buyer proof of funds</x:v>
      </x:c>
      <x:c r="I8" t="str">
        <x:v>Not Started</x:v>
      </x:c>
      <x:c r="J8" t="str"/>
      <x:c r="K8" t="str"/>
    </x:row>
    <x:row r="9">
      <x:c r="A9" s="35" t="str">
        <x:v>B-C Sale Price</x:v>
      </x:c>
      <x:c r="B9" s="48" t="n">
        <x:v>180000</x:v>
      </x:c>
      <x:c r="C9" t="str"/>
      <x:c r="D9" s="41" t="str">
        <x:v>Total Funding/Closing Cost</x:v>
      </x:c>
      <x:c r="E9" s="52" t="n">
        <x:f>SUM(B10:B13)</x:f>
        <x:v>10900</x:v>
      </x:c>
      <x:c r="F9" t="str">
        <x:v>Auto-calculated. Verify assumptions before using.</x:v>
      </x:c>
      <x:c r="H9" s="46" t="str">
        <x:v>Title confirms transaction flow</x:v>
      </x:c>
      <x:c r="I9" t="str">
        <x:v>Not Started</x:v>
      </x:c>
      <x:c r="J9" t="str"/>
      <x:c r="K9" t="str"/>
    </x:row>
    <x:row r="10">
      <x:c r="A10" s="35" t="str">
        <x:v>Funding Fee</x:v>
      </x:c>
      <x:c r="B10" s="48" t="n">
        <x:v>2500</x:v>
      </x:c>
      <x:c r="C10" t="str"/>
      <x:c r="D10" s="41" t="str">
        <x:v>Net Spread</x:v>
      </x:c>
      <x:c r="E10" s="52" t="n">
        <x:f>E8-E9</x:f>
        <x:v>19100</x:v>
      </x:c>
      <x:c r="F10" t="str">
        <x:v>Auto-calculated. Verify assumptions before using.</x:v>
      </x:c>
      <x:c r="H10" s="46" t="str">
        <x:v>Funding fee in settlement statement</x:v>
      </x:c>
      <x:c r="I10" t="str">
        <x:v>Not Started</x:v>
      </x:c>
      <x:c r="J10" t="str"/>
      <x:c r="K10" t="str"/>
    </x:row>
    <x:row r="11">
      <x:c r="A11" s="35" t="str">
        <x:v>Wire/Admin Fees</x:v>
      </x:c>
      <x:c r="B11" s="48" t="n">
        <x:v>400</x:v>
      </x:c>
      <x:c r="C11" t="str"/>
      <x:c r="D11" s="41" t="str">
        <x:v>Gate</x:v>
      </x:c>
      <x:c r="E11" s="52" t="str">
        <x:f>IF(AND(B14=1,B15=1,B16=1,B17=1,B21=1),"PASS","FAIL")</x:f>
        <x:v>PASS</x:v>
      </x:c>
      <x:c r="F11" t="str">
        <x:v>Auto-calculated. Verify assumptions before using.</x:v>
      </x:c>
      <x:c r="H11" s="46" t="str">
        <x:v>No seasoning restriction issue</x:v>
      </x:c>
      <x:c r="I11" t="str">
        <x:v>Not Started</x:v>
      </x:c>
      <x:c r="J11" t="str"/>
      <x:c r="K11" t="str"/>
    </x:row>
    <x:row r="12">
      <x:c r="A12" s="35" t="str">
        <x:v>A-B Closing Costs</x:v>
      </x:c>
      <x:c r="B12" s="48" t="n">
        <x:v>3500</x:v>
      </x:c>
      <x:c r="C12" t="str"/>
      <x:c r="D12" s="41" t="str">
        <x:v>Delay Risk Adjusted Spread</x:v>
      </x:c>
      <x:c r="E12" s="52" t="n">
        <x:f>E10-(B20*500)+IF(B19=1,1000,0)</x:f>
        <x:v>17100</x:v>
      </x:c>
      <x:c r="F12" t="str">
        <x:v>Auto-calculated. Verify assumptions before using.</x:v>
      </x:c>
      <x:c r="H12" s="46" t="str">
        <x:v>Backup buyer or exit</x:v>
      </x:c>
      <x:c r="I12" t="str">
        <x:v>Not Started</x:v>
      </x:c>
      <x:c r="J12" t="str"/>
      <x:c r="K12" t="str"/>
    </x:row>
    <x:row r="13">
      <x:c r="A13" s="35" t="str">
        <x:v>B-C Closing Costs</x:v>
      </x:c>
      <x:c r="B13" s="48" t="n">
        <x:v>4500</x:v>
      </x:c>
      <x:c r="C13" t="str"/>
      <x:c r="D13" s="41" t="str">
        <x:v>Decision</x:v>
      </x:c>
      <x:c r="E13" s="52" t="str">
        <x:f>IF(AND(E10&gt;=B18,E11="PASS",E12&gt;0),"GO",IF(E10&gt;0,"MAYBE","NO"))</x:f>
        <x:v>GO</x:v>
      </x:c>
      <x:c r="F13" t="str">
        <x:v>Auto-calculated. Verify assumptions before using.</x:v>
      </x:c>
      <x:c r="H13" s="46" t="str">
        <x:v>Same-day wire timing mapped</x:v>
      </x:c>
      <x:c r="I13" t="str">
        <x:v>Not Started</x:v>
      </x:c>
      <x:c r="J13" t="str"/>
      <x:c r="K13" t="str"/>
    </x:row>
    <x:row r="14">
      <x:c r="A14" s="35" t="str">
        <x:v>End Buyer Funds Verified Yes=1</x:v>
      </x:c>
      <x:c r="B14" s="48" t="n">
        <x:v>1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Same-Day/Next-Day Close Yes=1</x:v>
      </x:c>
      <x:c r="B15" s="48" t="n">
        <x:v>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Title Company Approved Yes=1</x:v>
      </x:c>
      <x:c r="B16" s="48" t="n">
        <x:v>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No Lender Seasoning Issue Yes=1</x:v>
      </x:c>
      <x:c r="B17" s="48" t="n">
        <x:v>1</x:v>
      </x:c>
      <x:c r="C17" t="str"/>
      <x:c r="E17" s="53"/>
    </x:row>
    <x:row r="18">
      <x:c r="A18" s="35" t="str">
        <x:v>Spread Minimum Required</x:v>
      </x:c>
      <x:c r="B18" s="48" t="n">
        <x:v>10000</x:v>
      </x:c>
      <x:c r="C18" t="str"/>
      <x:c r="E18" s="53"/>
    </x:row>
    <x:row r="19">
      <x:c r="A19" s="35" t="str">
        <x:v>Backup Buyer Yes=1</x:v>
      </x:c>
      <x:c r="B19" s="48" t="n">
        <x:v>0</x:v>
      </x:c>
      <x:c r="C19" t="str"/>
      <x:c r="E19" s="53"/>
    </x:row>
    <x:row r="20">
      <x:c r="A20" s="35" t="str">
        <x:v>Delay Risk Score 1-10</x:v>
      </x:c>
      <x:c r="B20" s="48" t="n">
        <x:v>4</x:v>
      </x:c>
      <x:c r="C20" t="str"/>
      <x:c r="E20" s="53"/>
    </x:row>
    <x:row r="21">
      <x:c r="A21" s="35" t="str">
        <x:v>Compliance Review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Private Money / JV Funding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borrowing from a private lender or partnering with a JV while managing securities/lending risk.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Loan Amount / Partner Capital</x:v>
      </x:c>
      <x:c r="B8" s="48" t="n">
        <x:v>100000</x:v>
      </x:c>
      <x:c r="C8" t="str"/>
      <x:c r="D8" s="41" t="str">
        <x:v>Points Cost</x:v>
      </x:c>
      <x:c r="E8" s="52" t="n">
        <x:f>B8*B10</x:f>
        <x:v>2000</x:v>
      </x:c>
      <x:c r="F8" t="str">
        <x:v>Auto-calculated. Verify assumptions before using.</x:v>
      </x:c>
      <x:c r="H8" s="46" t="str">
        <x:v>Promissory note/security docs</x:v>
      </x:c>
      <x:c r="I8" t="str">
        <x:v>Not Started</x:v>
      </x:c>
      <x:c r="J8" t="str"/>
      <x:c r="K8" t="str"/>
    </x:row>
    <x:row r="9">
      <x:c r="A9" s="35" t="str">
        <x:v>Interest Rate</x:v>
      </x:c>
      <x:c r="B9" s="48" t="n">
        <x:v>0.12</x:v>
      </x:c>
      <x:c r="C9" t="str"/>
      <x:c r="D9" s="41" t="str">
        <x:v>Interest Cost</x:v>
      </x:c>
      <x:c r="E9" s="52" t="n">
        <x:f>B12*B11</x:f>
        <x:v>12000</x:v>
      </x:c>
      <x:c r="F9" t="str">
        <x:v>Auto-calculated. Verify assumptions before using.</x:v>
      </x:c>
      <x:c r="H9" s="46" t="str">
        <x:v>Lien position verified</x:v>
      </x:c>
      <x:c r="I9" t="str">
        <x:v>Not Started</x:v>
      </x:c>
      <x:c r="J9" t="str"/>
      <x:c r="K9" t="str"/>
    </x:row>
    <x:row r="10">
      <x:c r="A10" s="35" t="str">
        <x:v>Points</x:v>
      </x:c>
      <x:c r="B10" s="48" t="n">
        <x:v>0.02</x:v>
      </x:c>
      <x:c r="C10" t="str"/>
      <x:c r="D10" s="41" t="str">
        <x:v>Equity Split Cost</x:v>
      </x:c>
      <x:c r="E10" s="52" t="n">
        <x:f>B14*B13</x:f>
        <x:v>0</x:v>
      </x:c>
      <x:c r="F10" t="str">
        <x:v>Auto-calculated. Verify assumptions before using.</x:v>
      </x:c>
      <x:c r="H10" s="46" t="str">
        <x:v>Lender suitability/disclosures</x:v>
      </x:c>
      <x:c r="I10" t="str">
        <x:v>Not Started</x:v>
      </x:c>
      <x:c r="J10" t="str"/>
      <x:c r="K10" t="str"/>
    </x:row>
    <x:row r="11">
      <x:c r="A11" s="35" t="str">
        <x:v>Term Months</x:v>
      </x:c>
      <x:c r="B11" s="48" t="n">
        <x:v>12</x:v>
      </x:c>
      <x:c r="C11" t="str"/>
      <x:c r="D11" s="41" t="str">
        <x:v>Total Capital Cost</x:v>
      </x:c>
      <x:c r="E11" s="52" t="n">
        <x:f>SUM(E8:E10)</x:f>
        <x:v>14000</x:v>
      </x:c>
      <x:c r="F11" t="str">
        <x:v>Auto-calculated. Verify assumptions before using.</x:v>
      </x:c>
      <x:c r="H11" s="46" t="str">
        <x:v>No improper earnings claim</x:v>
      </x:c>
      <x:c r="I11" t="str">
        <x:v>Not Started</x:v>
      </x:c>
      <x:c r="J11" t="str"/>
      <x:c r="K11" t="str"/>
    </x:row>
    <x:row r="12">
      <x:c r="A12" s="35" t="str">
        <x:v>Monthly Payment Interest-Only</x:v>
      </x:c>
      <x:c r="B12" s="48" t="n">
        <x:v>1000</x:v>
      </x:c>
      <x:c r="C12" t="str"/>
      <x:c r="D12" s="41" t="str">
        <x:v>Projected Net After Capital</x:v>
      </x:c>
      <x:c r="E12" s="52" t="n">
        <x:f>B14-E11</x:f>
        <x:v>21000</x:v>
      </x:c>
      <x:c r="F12" t="str">
        <x:v>Auto-calculated. Verify assumptions before using.</x:v>
      </x:c>
      <x:c r="H12" s="46" t="str">
        <x:v>Securities counsel if pooled/marketed</x:v>
      </x:c>
      <x:c r="I12" t="str">
        <x:v>Not Started</x:v>
      </x:c>
      <x:c r="J12" t="str"/>
      <x:c r="K12" t="str"/>
    </x:row>
    <x:row r="13">
      <x:c r="A13" s="35" t="str">
        <x:v>Profit Split to Partner %</x:v>
      </x:c>
      <x:c r="B13" s="48" t="n">
        <x:v>0</x:v>
      </x:c>
      <x:c r="C13" t="str"/>
      <x:c r="D13" s="41" t="str">
        <x:v>LTV From Value</x:v>
      </x:c>
      <x:c r="E13" s="52" t="n">
        <x:f>IFERROR(B8/B15,0)</x:f>
        <x:v>0.5555555555555556</x:v>
      </x:c>
      <x:c r="F13" t="str">
        <x:v>Auto-calculated. Verify assumptions before using.</x:v>
      </x:c>
      <x:c r="H13" s="46" t="str">
        <x:v>Exit/refi/sale source</x:v>
      </x:c>
      <x:c r="I13" t="str">
        <x:v>Not Started</x:v>
      </x:c>
      <x:c r="J13" t="str"/>
      <x:c r="K13" t="str"/>
    </x:row>
    <x:row r="14">
      <x:c r="A14" s="35" t="str">
        <x:v>Projected Deal Profit</x:v>
      </x:c>
      <x:c r="B14" s="48" t="n">
        <x:v>35000</x:v>
      </x:c>
      <x:c r="C14" t="str"/>
      <x:c r="D14" s="41" t="str">
        <x:v>Compliance Gate</x:v>
      </x:c>
      <x:c r="E14" s="52" t="str">
        <x:f>IF(AND(B20=1,B21=1,OR(B19=1,B18=0)),"PASS","REVIEW")</x:f>
        <x:v>REVIEW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Collateral Value</x:v>
      </x:c>
      <x:c r="B15" s="48" t="n">
        <x:v>180000</x:v>
      </x:c>
      <x:c r="C15" t="str"/>
      <x:c r="D15" s="41" t="str">
        <x:v>Decision</x:v>
      </x:c>
      <x:c r="E15" s="52" t="str">
        <x:f>IF(AND(E12&gt;10000,E13&lt;=B17,E14="PASS"),"GO",IF(E12&gt;0,"MAYBE - LEGAL REVIEW","NO"))</x:f>
        <x:v>MAYBE - LEGAL REVIEW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Lien Position 1=First 2=Second</x:v>
      </x:c>
      <x:c r="B16" s="48" t="n">
        <x:v>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LTV</x:v>
      </x:c>
      <x:c r="B17" s="48" t="n">
        <x:v>0.65</x:v>
      </x:c>
      <x:c r="C17" t="str"/>
      <x:c r="E17" s="53"/>
    </x:row>
    <x:row r="18">
      <x:c r="A18" s="35" t="str">
        <x:v>Investor Accredited? Yes=1</x:v>
      </x:c>
      <x:c r="B18" s="48" t="n">
        <x:v>1</x:v>
      </x:c>
      <x:c r="C18" t="str"/>
      <x:c r="E18" s="53"/>
    </x:row>
    <x:row r="19">
      <x:c r="A19" s="35" t="str">
        <x:v>Offering Broadly Advertised? Yes=1</x:v>
      </x:c>
      <x:c r="B19" s="48" t="n">
        <x:v>0</x:v>
      </x:c>
      <x:c r="C19" t="str"/>
      <x:c r="E19" s="53"/>
    </x:row>
    <x:row r="20">
      <x:c r="A20" s="35" t="str">
        <x:v>Attorney/Securities Review Yes=1</x:v>
      </x:c>
      <x:c r="B20" s="48" t="n">
        <x:v>1</x:v>
      </x:c>
      <x:c r="C20" t="str"/>
      <x:c r="E20" s="53"/>
    </x:row>
    <x:row r="21">
      <x:c r="A21" s="35" t="str">
        <x:v>Written Note/Operating Agreement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Hard Money Rehab Loan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hard money leverage, points, interest, draw schedule, LTC/LTV and rehab cash gaps.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160000</x:v>
      </x:c>
      <x:c r="C8" t="str"/>
      <x:c r="D8" s="41" t="str">
        <x:v>Max Loan by LTC</x:v>
      </x:c>
      <x:c r="E8" s="52" t="n">
        <x:f>(B8+B9)*B11</x:f>
        <x:v>178500</x:v>
      </x:c>
      <x:c r="F8" t="str">
        <x:v>Auto-calculated. Verify assumptions before using.</x:v>
      </x:c>
      <x:c r="H8" s="46" t="str">
        <x:v>Term sheet uploaded</x:v>
      </x:c>
      <x:c r="I8" t="str">
        <x:v>Not Started</x:v>
      </x:c>
      <x:c r="J8" t="str"/>
      <x:c r="K8" t="str"/>
    </x:row>
    <x:row r="9">
      <x:c r="A9" s="35" t="str">
        <x:v>Rehab Budget</x:v>
      </x:c>
      <x:c r="B9" s="48" t="n">
        <x:v>50000</x:v>
      </x:c>
      <x:c r="C9" t="str"/>
      <x:c r="D9" s="41" t="str">
        <x:v>Max Loan by ARV</x:v>
      </x:c>
      <x:c r="E9" s="52" t="n">
        <x:f>B10*B12</x:f>
        <x:v>189000</x:v>
      </x:c>
      <x:c r="F9" t="str">
        <x:v>Auto-calculated. Verify assumptions before using.</x:v>
      </x:c>
      <x:c r="H9" s="46" t="str">
        <x:v>Draw schedule understood</x:v>
      </x:c>
      <x:c r="I9" t="str">
        <x:v>Not Started</x:v>
      </x:c>
      <x:c r="J9" t="str"/>
      <x:c r="K9" t="str"/>
    </x:row>
    <x:row r="10">
      <x:c r="A10" s="35" t="str">
        <x:v>ARV</x:v>
      </x:c>
      <x:c r="B10" s="48" t="n">
        <x:v>270000</x:v>
      </x:c>
      <x:c r="C10" t="str"/>
      <x:c r="D10" s="41" t="str">
        <x:v>Loan Amount</x:v>
      </x:c>
      <x:c r="E10" s="52" t="n">
        <x:f>MIN(E8,E9)</x:f>
        <x:v>178500</x:v>
      </x:c>
      <x:c r="F10" t="str">
        <x:v>Auto-calculated. Verify assumptions before using.</x:v>
      </x:c>
      <x:c r="H10" s="46" t="str">
        <x:v>Interest reserve modeled</x:v>
      </x:c>
      <x:c r="I10" t="str">
        <x:v>Not Started</x:v>
      </x:c>
      <x:c r="J10" t="str"/>
      <x:c r="K10" t="str"/>
    </x:row>
    <x:row r="11">
      <x:c r="A11" s="35" t="str">
        <x:v>Loan to Cost %</x:v>
      </x:c>
      <x:c r="B11" s="48" t="n">
        <x:v>0.85</x:v>
      </x:c>
      <x:c r="C11" t="str"/>
      <x:c r="D11" s="41" t="str">
        <x:v>Points Cost</x:v>
      </x:c>
      <x:c r="E11" s="52" t="n">
        <x:f>E10*B14</x:f>
        <x:v>5355</x:v>
      </x:c>
      <x:c r="F11" t="str">
        <x:v>Auto-calculated. Verify assumptions before using.</x:v>
      </x:c>
      <x:c r="H11" s="46" t="str">
        <x:v>Contingency included</x:v>
      </x:c>
      <x:c r="I11" t="str">
        <x:v>Not Started</x:v>
      </x:c>
      <x:c r="J11" t="str"/>
      <x:c r="K11" t="str"/>
    </x:row>
    <x:row r="12">
      <x:c r="A12" s="35" t="str">
        <x:v>Max ARV LTV</x:v>
      </x:c>
      <x:c r="B12" s="48" t="n">
        <x:v>0.7</x:v>
      </x:c>
      <x:c r="C12" t="str"/>
      <x:c r="D12" s="41" t="str">
        <x:v>Interest Cost</x:v>
      </x:c>
      <x:c r="E12" s="52" t="n">
        <x:f>E10*B13/12*B15</x:f>
        <x:v>16065</x:v>
      </x:c>
      <x:c r="F12" t="str">
        <x:v>Auto-calculated. Verify assumptions before using.</x:v>
      </x:c>
      <x:c r="H12" s="46" t="str">
        <x:v>Exit timing realistic</x:v>
      </x:c>
      <x:c r="I12" t="str">
        <x:v>Not Started</x:v>
      </x:c>
      <x:c r="J12" t="str"/>
      <x:c r="K12" t="str"/>
    </x:row>
    <x:row r="13">
      <x:c r="A13" s="35" t="str">
        <x:v>Interest Rate</x:v>
      </x:c>
      <x:c r="B13" s="48" t="n">
        <x:v>0.12</x:v>
      </x:c>
      <x:c r="C13" t="str"/>
      <x:c r="D13" s="41" t="str">
        <x:v>Cash Gap at Close</x:v>
      </x:c>
      <x:c r="E13" s="52" t="n">
        <x:f>MAX(0,B8+B9+B17+B21-E10)</x:f>
        <x:v>47500</x:v>
      </x:c>
      <x:c r="F13" t="str">
        <x:v>Auto-calculated. Verify assumptions before using.</x:v>
      </x:c>
      <x:c r="H13" s="46" t="str">
        <x:v>Prepayment/default fees reviewed</x:v>
      </x:c>
      <x:c r="I13" t="str">
        <x:v>Not Started</x:v>
      </x:c>
      <x:c r="J13" t="str"/>
      <x:c r="K13" t="str"/>
    </x:row>
    <x:row r="14">
      <x:c r="A14" s="35" t="str">
        <x:v>Points</x:v>
      </x:c>
      <x:c r="B14" s="48" t="n">
        <x:v>0.03</x:v>
      </x:c>
      <x:c r="C14" t="str"/>
      <x:c r="D14" s="41" t="str">
        <x:v>Projected Profit</x:v>
      </x:c>
      <x:c r="E14" s="52" t="n">
        <x:f>B10-B8-B9*(1+B20)-B17-(B10*B18)-E11-E12</x:f>
        <x:v>5979.999999999993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Term Months</x:v>
      </x:c>
      <x:c r="B15" s="48" t="n">
        <x:v>9</x:v>
      </x:c>
      <x:c r="C15" t="str"/>
      <x:c r="D15" s="41" t="str">
        <x:v>Decision</x:v>
      </x:c>
      <x:c r="E15" s="52" t="str">
        <x:f>IF(AND(E14&gt;=B19,E13&lt;=B21*2),"GO",IF(E14&gt;0,"MAYBE","NO"))</x:f>
        <x:v>MAYBE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Interest Reserve Months</x:v>
      </x:c>
      <x:c r="B16" s="48" t="n">
        <x:v>6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Closing Costs</x:v>
      </x:c>
      <x:c r="B17" s="48" t="n">
        <x:v>6000</x:v>
      </x:c>
      <x:c r="C17" t="str"/>
      <x:c r="E17" s="53"/>
    </x:row>
    <x:row r="18">
      <x:c r="A18" s="35" t="str">
        <x:v>Selling Costs %</x:v>
      </x:c>
      <x:c r="B18" s="48" t="n">
        <x:v>0.08</x:v>
      </x:c>
      <x:c r="C18" t="str"/>
      <x:c r="E18" s="53"/>
    </x:row>
    <x:row r="19">
      <x:c r="A19" s="35" t="str">
        <x:v>Desired Profit</x:v>
      </x:c>
      <x:c r="B19" s="48" t="n">
        <x:v>30000</x:v>
      </x:c>
      <x:c r="C19" t="str"/>
      <x:c r="E19" s="53"/>
    </x:row>
    <x:row r="20">
      <x:c r="A20" s="35" t="str">
        <x:v>Contingency %</x:v>
      </x:c>
      <x:c r="B20" s="48" t="n">
        <x:v>0.1</x:v>
      </x:c>
      <x:c r="C20" t="str"/>
      <x:c r="E20" s="53"/>
    </x:row>
    <x:row r="21">
      <x:c r="A21" s="35" t="str">
        <x:v>Draw Gap Reserve</x:v>
      </x:c>
      <x:c r="B21" s="48" t="n">
        <x:v>10000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Gap Funding / Down Payment Partner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smaller capital partners filling down payment, rehab gap, or closing gap.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Gap Amount Needed</x:v>
      </x:c>
      <x:c r="B8" s="48" t="n">
        <x:v>25000</x:v>
      </x:c>
      <x:c r="C8" t="str"/>
      <x:c r="D8" s="41" t="str">
        <x:v>Cost of Gap Capital</x:v>
      </x:c>
      <x:c r="E8" s="52" t="n">
        <x:f>B9</x:f>
        <x:v>5000</x:v>
      </x:c>
      <x:c r="F8" t="str">
        <x:v>Auto-calculated. Verify assumptions before using.</x:v>
      </x:c>
      <x:c r="H8" s="46" t="str">
        <x:v>Senior lender permits gap funding</x:v>
      </x:c>
      <x:c r="I8" t="str">
        <x:v>Not Started</x:v>
      </x:c>
      <x:c r="J8" t="str"/>
      <x:c r="K8" t="str"/>
    </x:row>
    <x:row r="9">
      <x:c r="A9" s="35" t="str">
        <x:v>Flat Fee / Return Promised</x:v>
      </x:c>
      <x:c r="B9" s="48" t="n">
        <x:v>5000</x:v>
      </x:c>
      <x:c r="C9" t="str"/>
      <x:c r="D9" s="41" t="str">
        <x:v>Net Profit After Gap</x:v>
      </x:c>
      <x:c r="E9" s="52" t="n">
        <x:f>B11-B9</x:f>
        <x:v>35000</x:v>
      </x:c>
      <x:c r="F9" t="str">
        <x:v>Auto-calculated. Verify assumptions before using.</x:v>
      </x:c>
      <x:c r="H9" s="46" t="str">
        <x:v>Written agreement</x:v>
      </x:c>
      <x:c r="I9" t="str">
        <x:v>Not Started</x:v>
      </x:c>
      <x:c r="J9" t="str"/>
      <x:c r="K9" t="str"/>
    </x:row>
    <x:row r="10">
      <x:c r="A10" s="35" t="str">
        <x:v>Expected Months</x:v>
      </x:c>
      <x:c r="B10" s="48" t="n">
        <x:v>6</x:v>
      </x:c>
      <x:c r="C10" t="str"/>
      <x:c r="D10" s="41" t="str">
        <x:v>Worst-Case After Gap</x:v>
      </x:c>
      <x:c r="E10" s="52" t="n">
        <x:f>B19-B9</x:f>
        <x:v>5000</x:v>
      </x:c>
      <x:c r="F10" t="str">
        <x:v>Auto-calculated. Verify assumptions before using.</x:v>
      </x:c>
      <x:c r="H10" s="46" t="str">
        <x:v>Capital source documented</x:v>
      </x:c>
      <x:c r="I10" t="str">
        <x:v>Not Started</x:v>
      </x:c>
      <x:c r="J10" t="str"/>
      <x:c r="K10" t="str"/>
    </x:row>
    <x:row r="11">
      <x:c r="A11" s="35" t="str">
        <x:v>Projected Deal Profit</x:v>
      </x:c>
      <x:c r="B11" s="48" t="n">
        <x:v>40000</x:v>
      </x:c>
      <x:c r="C11" t="str"/>
      <x:c r="D11" s="41" t="str">
        <x:v>Monthly Equivalent Cost</x:v>
      </x:c>
      <x:c r="E11" s="52" t="n">
        <x:f>IFERROR(B9/B10,0)</x:f>
        <x:v>833.3333333333334</x:v>
      </x:c>
      <x:c r="F11" t="str">
        <x:v>Auto-calculated. Verify assumptions before using.</x:v>
      </x:c>
      <x:c r="H11" s="46" t="str">
        <x:v>No unlicensed security offering</x:v>
      </x:c>
      <x:c r="I11" t="str">
        <x:v>Not Started</x:v>
      </x:c>
      <x:c r="J11" t="str"/>
      <x:c r="K11" t="str"/>
    </x:row>
    <x:row r="12">
      <x:c r="A12" s="35" t="str">
        <x:v>Collateral/Security Available Yes=1</x:v>
      </x:c>
      <x:c r="B12" s="48" t="n">
        <x:v>1</x:v>
      </x:c>
      <x:c r="C12" t="str"/>
      <x:c r="D12" s="41" t="str">
        <x:v>Compliance Gate</x:v>
      </x:c>
      <x:c r="E12" s="52" t="str">
        <x:f>IF(AND(B15=0,B16=1,B17=1,B18=1),"PASS","REVIEW")</x:f>
        <x:v>REVIEW</x:v>
      </x:c>
      <x:c r="F12" t="str">
        <x:v>Auto-calculated. Verify assumptions before using.</x:v>
      </x:c>
      <x:c r="H12" s="46" t="str">
        <x:v>Repayment source clear</x:v>
      </x:c>
      <x:c r="I12" t="str">
        <x:v>Not Started</x:v>
      </x:c>
      <x:c r="J12" t="str"/>
      <x:c r="K12" t="str"/>
    </x:row>
    <x:row r="13">
      <x:c r="A13" s="35" t="str">
        <x:v>Partner Repayment Source</x:v>
      </x:c>
      <x:c r="B13" s="48" t="n">
        <x:v>1</x:v>
      </x:c>
      <x:c r="C13" t="str"/>
      <x:c r="D13" s="41" t="str">
        <x:v>Decision</x:v>
      </x:c>
      <x:c r="E13" s="52" t="str">
        <x:f>IF(AND(E9&gt;10000,E10&gt;=0,E12="PASS",B21&gt;=7),"GO",IF(E9&gt;0,"MAYBE","NO"))</x:f>
        <x:v>MAYBE</x:v>
      </x:c>
      <x:c r="F13" t="str">
        <x:v>Auto-calculated. Verify assumptions before using.</x:v>
      </x:c>
      <x:c r="H13" s="46" t="str">
        <x:v>Worst-case scenario shared</x:v>
      </x:c>
      <x:c r="I13" t="str">
        <x:v>Not Started</x:v>
      </x:c>
      <x:c r="J13" t="str"/>
      <x:c r="K13" t="str"/>
    </x:row>
    <x:row r="14">
      <x:c r="A14" s="35" t="str">
        <x:v>Broad Solicitation? Yes=1</x:v>
      </x:c>
      <x:c r="B14" s="48" t="n">
        <x:v>0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Attorney/Securities Review Yes=1</x:v>
      </x:c>
      <x:c r="B15" s="48" t="n">
        <x:v>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Written Agreement Yes=1</x:v>
      </x:c>
      <x:c r="B16" s="48" t="n">
        <x:v>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Senior Lender Allows Gap? Yes=1</x:v>
      </x:c>
      <x:c r="B17" s="48" t="n">
        <x:v>1</x:v>
      </x:c>
      <x:c r="C17" t="str"/>
      <x:c r="E17" s="53"/>
    </x:row>
    <x:row r="18">
      <x:c r="A18" s="35" t="str">
        <x:v>Your Cash Cushion</x:v>
      </x:c>
      <x:c r="B18" s="48" t="n">
        <x:v>15000</x:v>
      </x:c>
      <x:c r="C18" t="str"/>
      <x:c r="E18" s="53"/>
    </x:row>
    <x:row r="19">
      <x:c r="A19" s="35" t="str">
        <x:v>Worst-Case Profit</x:v>
      </x:c>
      <x:c r="B19" s="48" t="n">
        <x:v>10000</x:v>
      </x:c>
      <x:c r="C19" t="str"/>
      <x:c r="E19" s="53"/>
    </x:row>
    <x:row r="20">
      <x:c r="A20" s="35" t="str">
        <x:v>Partner Max Loss Tolerance Score 1-10</x:v>
      </x:c>
      <x:c r="B20" s="48" t="n">
        <x:v>7</x:v>
      </x:c>
      <x:c r="C20" t="str"/>
      <x:c r="E20" s="53"/>
    </x:row>
    <x:row r="21">
      <x:c r="A21" s="35" t="str">
        <x:v>Exit Certainty Score 1-10</x:v>
      </x:c>
      <x:c r="B21" s="48" t="n">
        <x:v>7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Assumable Mortgage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FHA/VA/USDA or other assumable loan opportunities with lender-approved assumption.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Property Value</x:v>
      </x:c>
      <x:c r="B8" s="48" t="n">
        <x:v>300000</x:v>
      </x:c>
      <x:c r="C8" t="str"/>
      <x:c r="D8" s="41" t="str">
        <x:v>Assumed PI Payment</x:v>
      </x:c>
      <x:c r="E8" s="52" t="n">
        <x:f>IFERROR(PMT(B10/12,B11*12,-B9),0)</x:f>
        <x:v>1051.309497544935</x:v>
      </x:c>
      <x:c r="F8" t="str">
        <x:v>Auto-calculated. Verify assumptions before using.</x:v>
      </x:c>
      <x:c r="H8" s="46" t="str">
        <x:v>Loan type assumption-eligible</x:v>
      </x:c>
      <x:c r="I8" t="str">
        <x:v>Not Started</x:v>
      </x:c>
      <x:c r="J8" t="str"/>
      <x:c r="K8" t="str"/>
    </x:row>
    <x:row r="9">
      <x:c r="A9" s="35" t="str">
        <x:v>Assumable Loan Balance</x:v>
      </x:c>
      <x:c r="B9" s="48" t="n">
        <x:v>210000</x:v>
      </x:c>
      <x:c r="C9" t="str"/>
      <x:c r="D9" s="41" t="str">
        <x:v>Total Monthly Payment</x:v>
      </x:c>
      <x:c r="E9" s="52" t="n">
        <x:f>E8+B12</x:f>
        <x:v>1601.309497544935</x:v>
      </x:c>
      <x:c r="F9" t="str">
        <x:v>Auto-calculated. Verify assumptions before using.</x:v>
      </x:c>
      <x:c r="H9" s="46" t="str">
        <x:v>Lender assumption package started</x:v>
      </x:c>
      <x:c r="I9" t="str">
        <x:v>Not Started</x:v>
      </x:c>
      <x:c r="J9" t="str"/>
      <x:c r="K9" t="str"/>
    </x:row>
    <x:row r="10">
      <x:c r="A10" s="35" t="str">
        <x:v>Assumable Interest Rate</x:v>
      </x:c>
      <x:c r="B10" s="48" t="n">
        <x:v>0.035</x:v>
      </x:c>
      <x:c r="C10" t="str"/>
      <x:c r="D10" s="41" t="str">
        <x:v>Monthly NOI Before Debt</x:v>
      </x:c>
      <x:c r="E10" s="52" t="n">
        <x:f>B15-(B15*B17)-B16</x:f>
        <x:v>2076</x:v>
      </x:c>
      <x:c r="F10" t="str">
        <x:v>Auto-calculated. Verify assumptions before using.</x:v>
      </x:c>
      <x:c r="H10" s="46" t="str">
        <x:v>Buyer qualifies</x:v>
      </x:c>
      <x:c r="I10" t="str">
        <x:v>Not Started</x:v>
      </x:c>
      <x:c r="J10" t="str"/>
      <x:c r="K10" t="str"/>
    </x:row>
    <x:row r="11">
      <x:c r="A11" s="35" t="str">
        <x:v>Remaining Term Years</x:v>
      </x:c>
      <x:c r="B11" s="48" t="n">
        <x:v>25</x:v>
      </x:c>
      <x:c r="C11" t="str"/>
      <x:c r="D11" s="41" t="str">
        <x:v>Monthly Cash Flow</x:v>
      </x:c>
      <x:c r="E11" s="52" t="n">
        <x:f>E10-E9</x:f>
        <x:v>474.6905024550649</x:v>
      </x:c>
      <x:c r="F11" t="str">
        <x:v>Auto-calculated. Verify assumptions before using.</x:v>
      </x:c>
      <x:c r="H11" s="46" t="str">
        <x:v>Seller release of liability understood</x:v>
      </x:c>
      <x:c r="I11" t="str">
        <x:v>Not Started</x:v>
      </x:c>
      <x:c r="J11" t="str"/>
      <x:c r="K11" t="str"/>
    </x:row>
    <x:row r="12">
      <x:c r="A12" s="35" t="str">
        <x:v>Monthly Taxes/Ins/HOA</x:v>
      </x:c>
      <x:c r="B12" s="48" t="n">
        <x:v>550</x:v>
      </x:c>
      <x:c r="C12" t="str"/>
      <x:c r="D12" s="41" t="str">
        <x:v>Cash Needed</x:v>
      </x:c>
      <x:c r="E12" s="52" t="n">
        <x:f>B13+B14</x:f>
        <x:v>96000</x:v>
      </x:c>
      <x:c r="F12" t="str">
        <x:v>Auto-calculated. Verify assumptions before using.</x:v>
      </x:c>
      <x:c r="H12" s="46" t="str">
        <x:v>Equity gap funded legally</x:v>
      </x:c>
      <x:c r="I12" t="str">
        <x:v>Not Started</x:v>
      </x:c>
      <x:c r="J12" t="str"/>
      <x:c r="K12" t="str"/>
    </x:row>
    <x:row r="13">
      <x:c r="A13" s="35" t="str">
        <x:v>Seller Equity / Cash Needed</x:v>
      </x:c>
      <x:c r="B13" s="48" t="n">
        <x:v>90000</x:v>
      </x:c>
      <x:c r="C13" t="str"/>
      <x:c r="D13" s="41" t="str">
        <x:v>DSCR</x:v>
      </x:c>
      <x:c r="E13" s="52" t="n">
        <x:f>IFERROR(E10/(E9*12),0)</x:f>
        <x:v>0.10803657897816556</x:v>
      </x:c>
      <x:c r="F13" t="str">
        <x:v>Auto-calculated. Verify assumptions before using.</x:v>
      </x:c>
      <x:c r="H13" s="46" t="str">
        <x:v>Timeline tracked</x:v>
      </x:c>
      <x:c r="I13" t="str">
        <x:v>Not Started</x:v>
      </x:c>
      <x:c r="J13" t="str"/>
      <x:c r="K13" t="str"/>
    </x:row>
    <x:row r="14">
      <x:c r="A14" s="35" t="str">
        <x:v>Closing Costs</x:v>
      </x:c>
      <x:c r="B14" s="48" t="n">
        <x:v>6000</x:v>
      </x:c>
      <x:c r="C14" t="str"/>
      <x:c r="D14" s="41" t="str">
        <x:v>Decision</x:v>
      </x:c>
      <x:c r="E14" s="52" t="str">
        <x:f>IF(AND(B18=1,B19=1,B20=1,E11&gt;100),"GO",IF(E11&gt;0,"MAYBE - EQUITY GAP","NO"))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Rent</x:v>
      </x:c>
      <x:c r="B15" s="48" t="n">
        <x:v>2800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Expenses</x:v>
      </x:c>
      <x:c r="B16" s="48" t="n">
        <x:v>500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Vacancy %</x:v>
      </x:c>
      <x:c r="B17" s="48" t="n">
        <x:v>0.08</x:v>
      </x:c>
      <x:c r="C17" t="str"/>
      <x:c r="E17" s="53"/>
    </x:row>
    <x:row r="18">
      <x:c r="A18" s="35" t="str">
        <x:v>Lender Allows Assumption Yes=1</x:v>
      </x:c>
      <x:c r="B18" s="48" t="n">
        <x:v>1</x:v>
      </x:c>
      <x:c r="C18" t="str"/>
      <x:c r="E18" s="53"/>
    </x:row>
    <x:row r="19">
      <x:c r="A19" s="35" t="str">
        <x:v>Buyer Qualifies Yes=1</x:v>
      </x:c>
      <x:c r="B19" s="48" t="n">
        <x:v>1</x:v>
      </x:c>
      <x:c r="C19" t="str"/>
      <x:c r="E19" s="53"/>
    </x:row>
    <x:row r="20">
      <x:c r="A20" s="35" t="str">
        <x:v>Due on Sale Avoided via Approval Yes=1</x:v>
      </x:c>
      <x:c r="B20" s="48" t="n">
        <x:v>1</x:v>
      </x:c>
      <x:c r="C20" t="str"/>
      <x:c r="E20" s="53"/>
    </x:row>
    <x:row r="21">
      <x:c r="A21" s="35" t="str">
        <x:v>Equity Financing Source Ready Yes=1</x:v>
      </x:c>
      <x:c r="B21" s="48" t="n">
        <x:v>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Owner Carry Second Mortgage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conventional first loan plus seller-carried second/junior mortgage.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300000</x:v>
      </x:c>
      <x:c r="C8" t="str"/>
      <x:c r="D8" s="41" t="str">
        <x:v>Second Payment</x:v>
      </x:c>
      <x:c r="E8" s="52" t="n">
        <x:f>IFERROR(PMT(B12/12,B13*12,-B11),0)</x:f>
        <x:v>430.04343794865815</x:v>
      </x:c>
      <x:c r="F8" t="str">
        <x:v>Auto-calculated. Verify assumptions before using.</x:v>
      </x:c>
      <x:c r="H8" s="46" t="str">
        <x:v>First lender permits second</x:v>
      </x:c>
      <x:c r="I8" t="str">
        <x:v>Not Started</x:v>
      </x:c>
      <x:c r="J8" t="str"/>
      <x:c r="K8" t="str"/>
    </x:row>
    <x:row r="9">
      <x:c r="A9" s="35" t="str">
        <x:v>First Loan Amount</x:v>
      </x:c>
      <x:c r="B9" s="48" t="n">
        <x:v>240000</x:v>
      </x:c>
      <x:c r="C9" t="str"/>
      <x:c r="D9" s="41" t="str">
        <x:v>Combined Monthly Debt</x:v>
      </x:c>
      <x:c r="E9" s="52" t="n">
        <x:f>B10+E8</x:f>
        <x:v>2330.0434379486583</x:v>
      </x:c>
      <x:c r="F9" t="str">
        <x:v>Auto-calculated. Verify assumptions before using.</x:v>
      </x:c>
      <x:c r="H9" s="46" t="str">
        <x:v>Second note/deed recorded</x:v>
      </x:c>
      <x:c r="I9" t="str">
        <x:v>Not Started</x:v>
      </x:c>
      <x:c r="J9" t="str"/>
      <x:c r="K9" t="str"/>
    </x:row>
    <x:row r="10">
      <x:c r="A10" s="35" t="str">
        <x:v>First Loan Payment</x:v>
      </x:c>
      <x:c r="B10" s="48" t="n">
        <x:v>1900</x:v>
      </x:c>
      <x:c r="C10" t="str"/>
      <x:c r="D10" s="41" t="str">
        <x:v>Monthly NOI</x:v>
      </x:c>
      <x:c r="E10" s="52" t="n">
        <x:f>B15-(B15*B17)-B16</x:f>
        <x:v>2294</x:v>
      </x:c>
      <x:c r="F10" t="str">
        <x:v>Auto-calculated. Verify assumptions before using.</x:v>
      </x:c>
      <x:c r="H10" s="46" t="str">
        <x:v>Intercreditor/subordination reviewed</x:v>
      </x:c>
      <x:c r="I10" t="str">
        <x:v>Not Started</x:v>
      </x:c>
      <x:c r="J10" t="str"/>
      <x:c r="K10" t="str"/>
    </x:row>
    <x:row r="11">
      <x:c r="A11" s="35" t="str">
        <x:v>Seller Second Amount</x:v>
      </x:c>
      <x:c r="B11" s="48" t="n">
        <x:v>45000</x:v>
      </x:c>
      <x:c r="C11" t="str"/>
      <x:c r="D11" s="41" t="str">
        <x:v>Monthly Cash Flow</x:v>
      </x:c>
      <x:c r="E11" s="52" t="n">
        <x:f>E10-E9</x:f>
        <x:v>-36.043437948658266</x:v>
      </x:c>
      <x:c r="F11" t="str">
        <x:v>Auto-calculated. Verify assumptions before using.</x:v>
      </x:c>
      <x:c r="H11" s="46" t="str">
        <x:v>ATR/legal review if consumer dwelling</x:v>
      </x:c>
      <x:c r="I11" t="str">
        <x:v>Not Started</x:v>
      </x:c>
      <x:c r="J11" t="str"/>
      <x:c r="K11" t="str"/>
    </x:row>
    <x:row r="12">
      <x:c r="A12" s="35" t="str">
        <x:v>Second Interest Rate</x:v>
      </x:c>
      <x:c r="B12" s="48" t="n">
        <x:v>0.08</x:v>
      </x:c>
      <x:c r="C12" t="str"/>
      <x:c r="D12" s="41" t="str">
        <x:v>CLTV</x:v>
      </x:c>
      <x:c r="E12" s="52" t="n">
        <x:f>IFERROR((B9+B11)/B8,0)</x:f>
        <x:v>0.95</x:v>
      </x:c>
      <x:c r="F12" t="str">
        <x:v>Auto-calculated. Verify assumptions before using.</x:v>
      </x:c>
      <x:c r="H12" s="46" t="str">
        <x:v>Balloon/default terms clear</x:v>
      </x:c>
      <x:c r="I12" t="str">
        <x:v>Not Started</x:v>
      </x:c>
      <x:c r="J12" t="str"/>
      <x:c r="K12" t="str"/>
    </x:row>
    <x:row r="13">
      <x:c r="A13" s="35" t="str">
        <x:v>Second Amort Years</x:v>
      </x:c>
      <x:c r="B13" s="48" t="n">
        <x:v>15</x:v>
      </x:c>
      <x:c r="C13" t="str"/>
      <x:c r="D13" s="41" t="str">
        <x:v>Cash Needed</x:v>
      </x:c>
      <x:c r="E13" s="52" t="n">
        <x:f>B14+B18</x:f>
        <x:v>23500</x:v>
      </x:c>
      <x:c r="F13" t="str">
        <x:v>Auto-calculated. Verify assumptions before using.</x:v>
      </x:c>
      <x:c r="H13" s="46" t="str">
        <x:v>CLTV acceptable</x:v>
      </x:c>
      <x:c r="I13" t="str">
        <x:v>Not Started</x:v>
      </x:c>
      <x:c r="J13" t="str"/>
      <x:c r="K13" t="str"/>
    </x:row>
    <x:row r="14">
      <x:c r="A14" s="35" t="str">
        <x:v>Buyer Down Payment</x:v>
      </x:c>
      <x:c r="B14" s="48" t="n">
        <x:v>15000</x:v>
      </x:c>
      <x:c r="C14" t="str"/>
      <x:c r="D14" s="41" t="str">
        <x:v>Decision</x:v>
      </x:c>
      <x:c r="E14" s="52" t="str">
        <x:f>IF(AND(E11&gt;150,E12&lt;=B20,B19=1,B21=0),"GO",IF(E11&gt;0,"MAYBE - LENDER/LEGAL REVIEW","NO"))</x:f>
        <x:v>NO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Rent</x:v>
      </x:c>
      <x:c r="B15" s="48" t="n">
        <x:v>3200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Expenses</x:v>
      </x:c>
      <x:c r="B16" s="48" t="n">
        <x:v>650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Vacancy %</x:v>
      </x:c>
      <x:c r="B17" s="48" t="n">
        <x:v>0.08</x:v>
      </x:c>
      <x:c r="C17" t="str"/>
      <x:c r="E17" s="53"/>
    </x:row>
    <x:row r="18">
      <x:c r="A18" s="35" t="str">
        <x:v>Closing Costs</x:v>
      </x:c>
      <x:c r="B18" s="48" t="n">
        <x:v>8500</x:v>
      </x:c>
      <x:c r="C18" t="str"/>
      <x:c r="E18" s="53"/>
    </x:row>
    <x:row r="19">
      <x:c r="A19" s="35" t="str">
        <x:v>First Lender Allows Second Yes=1</x:v>
      </x:c>
      <x:c r="B19" s="48" t="n">
        <x:v>1</x:v>
      </x:c>
      <x:c r="C19" t="str"/>
      <x:c r="E19" s="53"/>
    </x:row>
    <x:row r="20">
      <x:c r="A20" s="35" t="str">
        <x:v>CLTV Max Allowed</x:v>
      </x:c>
      <x:c r="B20" s="48" t="n">
        <x:v>0.9</x:v>
      </x:c>
      <x:c r="C20" t="str"/>
      <x:c r="E20" s="53"/>
    </x:row>
    <x:row r="21">
      <x:c r="A21" s="35" t="str">
        <x:v>Consumer/Primary Residence Yes=1</x:v>
      </x:c>
      <x:c r="B21" s="48" t="n">
        <x:v>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Land Contract / Contract for Deed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seller retains legal title while buyer makes payments toward deed transfer.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Contract Price</x:v>
      </x:c>
      <x:c r="B8" s="48" t="n">
        <x:v>180000</x:v>
      </x:c>
      <x:c r="C8" t="str"/>
      <x:c r="D8" s="41" t="str">
        <x:v>Monthly PI</x:v>
      </x:c>
      <x:c r="E8" s="52" t="n">
        <x:f>IFERROR(PMT(B11/12,B12*12,-B10),0)</x:f>
        <x:v>1144.320291708195</x:v>
      </x:c>
      <x:c r="F8" t="str">
        <x:v>Auto-calculated. Verify assumptions before using.</x:v>
      </x:c>
      <x:c r="H8" s="46" t="str">
        <x:v>State land contract rules checked</x:v>
      </x:c>
      <x:c r="I8" t="str">
        <x:v>Not Started</x:v>
      </x:c>
      <x:c r="J8" t="str"/>
      <x:c r="K8" t="str"/>
    </x:row>
    <x:row r="9">
      <x:c r="A9" s="35" t="str">
        <x:v>Down Payment</x:v>
      </x:c>
      <x:c r="B9" s="48" t="n">
        <x:v>8000</x:v>
      </x:c>
      <x:c r="C9" t="str"/>
      <x:c r="D9" s="41" t="str">
        <x:v>Total Monthly Obligation</x:v>
      </x:c>
      <x:c r="E9" s="52" t="n">
        <x:f>E8+B14</x:f>
        <x:v>1444.320291708195</x:v>
      </x:c>
      <x:c r="F9" t="str">
        <x:v>Auto-calculated. Verify assumptions before using.</x:v>
      </x:c>
      <x:c r="H9" s="46" t="str">
        <x:v>Recording/disclosure requirements</x:v>
      </x:c>
      <x:c r="I9" t="str">
        <x:v>Not Started</x:v>
      </x:c>
      <x:c r="J9" t="str"/>
      <x:c r="K9" t="str"/>
    </x:row>
    <x:row r="10">
      <x:c r="A10" s="35" t="str">
        <x:v>Contract Balance</x:v>
      </x:c>
      <x:c r="B10" s="48" t="n">
        <x:v>172000</x:v>
      </x:c>
      <x:c r="C10" t="str"/>
      <x:c r="D10" s="41" t="str">
        <x:v>Monthly NOI</x:v>
      </x:c>
      <x:c r="E10" s="52" t="n">
        <x:f>B15-(B15*B17)-B16</x:f>
        <x:v>1440</x:v>
      </x:c>
      <x:c r="F10" t="str">
        <x:v>Auto-calculated. Verify assumptions before using.</x:v>
      </x:c>
      <x:c r="H10" s="46" t="str">
        <x:v>Equity forfeiture risk explained</x:v>
      </x:c>
      <x:c r="I10" t="str">
        <x:v>Not Started</x:v>
      </x:c>
      <x:c r="J10" t="str"/>
      <x:c r="K10" t="str"/>
    </x:row>
    <x:row r="11">
      <x:c r="A11" s="35" t="str">
        <x:v>Interest Rate</x:v>
      </x:c>
      <x:c r="B11" s="48" t="n">
        <x:v>0.07</x:v>
      </x:c>
      <x:c r="C11" t="str"/>
      <x:c r="D11" s="41" t="str">
        <x:v>Monthly Cash Flow</x:v>
      </x:c>
      <x:c r="E11" s="52" t="n">
        <x:f>E10-E9</x:f>
        <x:v>-4.3202917081951</x:v>
      </x:c>
      <x:c r="F11" t="str">
        <x:v>Auto-calculated. Verify assumptions before using.</x:v>
      </x:c>
      <x:c r="H11" s="46" t="str">
        <x:v>Taxes/insurance responsibilities clear</x:v>
      </x:c>
      <x:c r="I11" t="str">
        <x:v>Not Started</x:v>
      </x:c>
      <x:c r="J11" t="str"/>
      <x:c r="K11" t="str"/>
    </x:row>
    <x:row r="12">
      <x:c r="A12" s="35" t="str">
        <x:v>Amort Years</x:v>
      </x:c>
      <x:c r="B12" s="48" t="n">
        <x:v>30</x:v>
      </x:c>
      <x:c r="C12" t="str"/>
      <x:c r="D12" s="41" t="str">
        <x:v>Cash Needed</x:v>
      </x:c>
      <x:c r="E12" s="52" t="n">
        <x:f>B9</x:f>
        <x:v>8000</x:v>
      </x:c>
      <x:c r="F12" t="str">
        <x:v>Auto-calculated. Verify assumptions before using.</x:v>
      </x:c>
      <x:c r="H12" s="46" t="str">
        <x:v>Attorney drafted agreement</x:v>
      </x:c>
      <x:c r="I12" t="str">
        <x:v>Not Started</x:v>
      </x:c>
      <x:c r="J12" t="str"/>
      <x:c r="K12" t="str"/>
    </x:row>
    <x:row r="13">
      <x:c r="A13" s="35" t="str">
        <x:v>Balloon Years</x:v>
      </x:c>
      <x:c r="B13" s="48" t="n">
        <x:v>5</x:v>
      </x:c>
      <x:c r="C13" t="str"/>
      <x:c r="D13" s="41" t="str">
        <x:v>Legal Gate</x:v>
      </x:c>
      <x:c r="E13" s="52" t="str">
        <x:f>IF(AND(B18=1,B19=1,B21=1),"PASS","FAIL")</x:f>
        <x:v>PASS</x:v>
      </x:c>
      <x:c r="F13" t="str">
        <x:v>Auto-calculated. Verify assumptions before using.</x:v>
      </x:c>
      <x:c r="H13" s="46" t="str">
        <x:v>Default cure rights</x:v>
      </x:c>
      <x:c r="I13" t="str">
        <x:v>Not Started</x:v>
      </x:c>
      <x:c r="J13" t="str"/>
      <x:c r="K13" t="str"/>
    </x:row>
    <x:row r="14">
      <x:c r="A14" s="35" t="str">
        <x:v>Monthly Taxes/Insurance</x:v>
      </x:c>
      <x:c r="B14" s="48" t="n">
        <x:v>300</x:v>
      </x:c>
      <x:c r="C14" t="str"/>
      <x:c r="D14" s="41" t="str">
        <x:v>Decision</x:v>
      </x:c>
      <x:c r="E14" s="52" t="str">
        <x:f>IF(AND(E11&gt;100,E13="PASS",B20&lt;=6),"GO",IF(E11&gt;0,"MAYBE - HIGH LEGAL RISK","NO"))</x:f>
        <x:v>NO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Monthly Rent</x:v>
      </x:c>
      <x:c r="B15" s="48" t="n">
        <x:v>2000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Expenses</x:v>
      </x:c>
      <x:c r="B16" s="48" t="n">
        <x:v>400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Vacancy %</x:v>
      </x:c>
      <x:c r="B17" s="48" t="n">
        <x:v>0.08</x:v>
      </x:c>
      <x:c r="C17" t="str"/>
      <x:c r="E17" s="53"/>
    </x:row>
    <x:row r="18">
      <x:c r="A18" s="35" t="str">
        <x:v>State Disclosure/Recording Review Yes=1</x:v>
      </x:c>
      <x:c r="B18" s="48" t="n">
        <x:v>1</x:v>
      </x:c>
      <x:c r="C18" t="str"/>
      <x:c r="E18" s="53"/>
    </x:row>
    <x:row r="19">
      <x:c r="A19" s="35" t="str">
        <x:v>Buyer Equity Protection Reviewed Yes=1</x:v>
      </x:c>
      <x:c r="B19" s="48" t="n">
        <x:v>1</x:v>
      </x:c>
      <x:c r="C19" t="str"/>
      <x:c r="E19" s="53"/>
    </x:row>
    <x:row r="20">
      <x:c r="A20" s="35" t="str">
        <x:v>Forfeit vs Foreclosure Risk Score 1-10</x:v>
      </x:c>
      <x:c r="B20" s="48" t="n">
        <x:v>7</x:v>
      </x:c>
      <x:c r="C20" t="str"/>
      <x:c r="E20" s="53"/>
    </x:row>
    <x:row r="21">
      <x:c r="A21" s="35" t="str">
        <x:v>Attorney Review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Equity Share / Appreciation Participation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deals where parties share future appreciation, equity, cash flow, or profits.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Current Value</x:v>
      </x:c>
      <x:c r="B8" s="48" t="n">
        <x:v>300000</x:v>
      </x:c>
      <x:c r="C8" t="str"/>
      <x:c r="D8" s="41" t="str">
        <x:v>Current Equity</x:v>
      </x:c>
      <x:c r="E8" s="52" t="n">
        <x:f>B8-B10</x:f>
        <x:v>80000</x:v>
      </x:c>
      <x:c r="F8" t="str">
        <x:v>Auto-calculated. Verify assumptions before using.</x:v>
      </x:c>
      <x:c r="H8" s="46" t="str">
        <x:v>Ownership vs debt structure clear</x:v>
      </x:c>
      <x:c r="I8" t="str">
        <x:v>Not Started</x:v>
      </x:c>
      <x:c r="J8" t="str"/>
      <x:c r="K8" t="str"/>
    </x:row>
    <x:row r="9">
      <x:c r="A9" s="35" t="str">
        <x:v>Future Sale Value Estimate</x:v>
      </x:c>
      <x:c r="B9" s="48" t="n">
        <x:v>380000</x:v>
      </x:c>
      <x:c r="C9" t="str"/>
      <x:c r="D9" s="41" t="str">
        <x:v>Future Appreciation</x:v>
      </x:c>
      <x:c r="E9" s="52" t="n">
        <x:f>B9-B8</x:f>
        <x:v>80000</x:v>
      </x:c>
      <x:c r="F9" t="str">
        <x:v>Auto-calculated. Verify assumptions before using.</x:v>
      </x:c>
      <x:c r="H9" s="46" t="str">
        <x:v>Operating/buyout agreement</x:v>
      </x:c>
      <x:c r="I9" t="str">
        <x:v>Not Started</x:v>
      </x:c>
      <x:c r="J9" t="str"/>
      <x:c r="K9" t="str"/>
    </x:row>
    <x:row r="10">
      <x:c r="A10" s="35" t="str">
        <x:v>Current Debt</x:v>
      </x:c>
      <x:c r="B10" s="48" t="n">
        <x:v>220000</x:v>
      </x:c>
      <x:c r="C10" t="str"/>
      <x:c r="D10" s="41" t="str">
        <x:v>Investor Appreciation Profit</x:v>
      </x:c>
      <x:c r="E10" s="52" t="n">
        <x:f>E9*B13</x:f>
        <x:v>40000</x:v>
      </x:c>
      <x:c r="F10" t="str">
        <x:v>Auto-calculated. Verify assumptions before using.</x:v>
      </x:c>
      <x:c r="H10" s="46" t="str">
        <x:v>Tax treatment reviewed</x:v>
      </x:c>
      <x:c r="I10" t="str">
        <x:v>Not Started</x:v>
      </x:c>
      <x:c r="J10" t="str"/>
      <x:c r="K10" t="str"/>
    </x:row>
    <x:row r="11">
      <x:c r="A11" s="35" t="str">
        <x:v>Investor Cash Contribution</x:v>
      </x:c>
      <x:c r="B11" s="48" t="n">
        <x:v>40000</x:v>
      </x:c>
      <x:c r="C11" t="str"/>
      <x:c r="D11" s="41" t="str">
        <x:v>Investor Cash Flow Profit</x:v>
      </x:c>
      <x:c r="E11" s="52" t="n">
        <x:f>B14*12*B16*B15</x:f>
        <x:v>18000</x:v>
      </x:c>
      <x:c r="F11" t="str">
        <x:v>Auto-calculated. Verify assumptions before using.</x:v>
      </x:c>
      <x:c r="H11" s="46" t="str">
        <x:v>Control/management rights written</x:v>
      </x:c>
      <x:c r="I11" t="str">
        <x:v>Not Started</x:v>
      </x:c>
      <x:c r="J11" t="str"/>
      <x:c r="K11" t="str"/>
    </x:row>
    <x:row r="12">
      <x:c r="A12" s="35" t="str">
        <x:v>Owner Cash Contribution</x:v>
      </x:c>
      <x:c r="B12" s="48" t="n">
        <x:v>0</x:v>
      </x:c>
      <x:c r="C12" t="str"/>
      <x:c r="D12" s="41" t="str">
        <x:v>Investor Total Profit</x:v>
      </x:c>
      <x:c r="E12" s="52" t="n">
        <x:f>E10+E11-B17</x:f>
        <x:v>51000</x:v>
      </x:c>
      <x:c r="F12" t="str">
        <x:v>Auto-calculated. Verify assumptions before using.</x:v>
      </x:c>
      <x:c r="H12" s="46" t="str">
        <x:v>Dispute/default terms</x:v>
      </x:c>
      <x:c r="I12" t="str">
        <x:v>Not Started</x:v>
      </x:c>
      <x:c r="J12" t="str"/>
      <x:c r="K12" t="str"/>
    </x:row>
    <x:row r="13">
      <x:c r="A13" s="35" t="str">
        <x:v>Investor Appreciation Share %</x:v>
      </x:c>
      <x:c r="B13" s="48" t="n">
        <x:v>0.5</x:v>
      </x:c>
      <x:c r="C13" t="str"/>
      <x:c r="D13" s="41" t="str">
        <x:v>Cash-on-Cash Total</x:v>
      </x:c>
      <x:c r="E13" s="52" t="n">
        <x:f>IFERROR(E12/B11,0)</x:f>
        <x:v>1.275</x:v>
      </x:c>
      <x:c r="F13" t="str">
        <x:v>Auto-calculated. Verify assumptions before using.</x:v>
      </x:c>
      <x:c r="H13" s="46" t="str">
        <x:v>Securities review if passive investors</x:v>
      </x:c>
      <x:c r="I13" t="str">
        <x:v>Not Started</x:v>
      </x:c>
      <x:c r="J13" t="str"/>
      <x:c r="K13" t="str"/>
    </x:row>
    <x:row r="14">
      <x:c r="A14" s="35" t="str">
        <x:v>Monthly Cash Flow</x:v>
      </x:c>
      <x:c r="B14" s="48" t="n">
        <x:v>600</x:v>
      </x:c>
      <x:c r="C14" t="str"/>
      <x:c r="D14" s="41" t="str">
        <x:v>Compliance Gate</x:v>
      </x:c>
      <x:c r="E14" s="52" t="str">
        <x:f>IF(AND(B18=1,B19=1,B20=1),"PASS","REVIEW")</x:f>
        <x:v>PASS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Investor Cash Flow Share %</x:v>
      </x:c>
      <x:c r="B15" s="48" t="n">
        <x:v>0.5</x:v>
      </x:c>
      <x:c r="C15" t="str"/>
      <x:c r="D15" s="41" t="str">
        <x:v>Decision</x:v>
      </x:c>
      <x:c r="E15" s="52" t="str">
        <x:f>IF(AND(E13&gt;0.5,E14="PASS",B21&lt;=7),"GO",IF(E13&gt;0.2,"MAYBE","NO"))</x:f>
        <x:v>GO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Hold Years</x:v>
      </x:c>
      <x:c r="B16" s="48" t="n">
        <x:v>5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Closing/Legal Costs</x:v>
      </x:c>
      <x:c r="B17" s="48" t="n">
        <x:v>7000</x:v>
      </x:c>
      <x:c r="C17" t="str"/>
      <x:c r="E17" s="53"/>
    </x:row>
    <x:row r="18">
      <x:c r="A18" s="35" t="str">
        <x:v>Buyout Formula Agreed Yes=1</x:v>
      </x:c>
      <x:c r="B18" s="48" t="n">
        <x:v>1</x:v>
      </x:c>
      <x:c r="C18" t="str"/>
      <x:c r="E18" s="53"/>
    </x:row>
    <x:row r="19">
      <x:c r="A19" s="35" t="str">
        <x:v>Operating Agreement Yes=1</x:v>
      </x:c>
      <x:c r="B19" s="48" t="n">
        <x:v>1</x:v>
      </x:c>
      <x:c r="C19" t="str"/>
      <x:c r="E19" s="53"/>
    </x:row>
    <x:row r="20">
      <x:c r="A20" s="35" t="str">
        <x:v>Securities/Tax Review Yes=1</x:v>
      </x:c>
      <x:c r="B20" s="48" t="n">
        <x:v>1</x:v>
      </x:c>
      <x:c r="C20" t="str"/>
      <x:c r="E20" s="53"/>
    </x:row>
    <x:row r="21">
      <x:c r="A21" s="35" t="str">
        <x:v>Relationship Risk Score 1-10</x:v>
      </x:c>
      <x:c r="B21" s="48" t="n">
        <x:v>6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Vacant Land / Infill Lot Analyzer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land purchase/resale/buildability risk, entitlement, utilities and exit price.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Asking Price</x:v>
      </x:c>
      <x:c r="B8" s="48" t="n">
        <x:v>30000</x:v>
      </x:c>
      <x:c r="C8" t="str"/>
      <x:c r="D8" s="41" t="str">
        <x:v>Total Cost</x:v>
      </x:c>
      <x:c r="E8" s="52" t="n">
        <x:f>SUM(B8,B10:B12,B18*B19,B20)</x:f>
        <x:v>118501</x:v>
      </x:c>
      <x:c r="F8" t="str">
        <x:v>Auto-calculated. Verify assumptions before using.</x:v>
      </x:c>
      <x:c r="H8" s="46" t="str">
        <x:v>APN/legal description verified</x:v>
      </x:c>
      <x:c r="I8" t="str">
        <x:v>Not Started</x:v>
      </x:c>
      <x:c r="J8" t="str"/>
      <x:c r="K8" t="str"/>
    </x:row>
    <x:row r="9">
      <x:c r="A9" s="35" t="str">
        <x:v>Estimated Resale Value</x:v>
      </x:c>
      <x:c r="B9" s="48" t="n">
        <x:v>55000</x:v>
      </x:c>
      <x:c r="C9" t="str"/>
      <x:c r="D9" s="41" t="str">
        <x:v>Net Profit</x:v>
      </x:c>
      <x:c r="E9" s="52" t="n">
        <x:f>B9-E8</x:f>
        <x:v>-63501</x:v>
      </x:c>
      <x:c r="F9" t="str">
        <x:v>Auto-calculated. Verify assumptions before using.</x:v>
      </x:c>
      <x:c r="H9" s="46" t="str">
        <x:v>Zoning/buildability confirmed</x:v>
      </x:c>
      <x:c r="I9" t="str">
        <x:v>Not Started</x:v>
      </x:c>
      <x:c r="J9" t="str"/>
      <x:c r="K9" t="str"/>
    </x:row>
    <x:row r="10">
      <x:c r="A10" s="35" t="str">
        <x:v>Back Taxes/Liens</x:v>
      </x:c>
      <x:c r="B10" s="48" t="n">
        <x:v>2000</x:v>
      </x:c>
      <x:c r="C10" t="str"/>
      <x:c r="D10" s="41" t="str">
        <x:v>ROI</x:v>
      </x:c>
      <x:c r="E10" s="52" t="n">
        <x:f>IFERROR(E9/E8,0)</x:f>
        <x:v>-0.535868895621134</x:v>
      </x:c>
      <x:c r="F10" t="str">
        <x:v>Auto-calculated. Verify assumptions before using.</x:v>
      </x:c>
      <x:c r="H10" s="46" t="str">
        <x:v>Utilities/septic/well access</x:v>
      </x:c>
      <x:c r="I10" t="str">
        <x:v>Not Started</x:v>
      </x:c>
      <x:c r="J10" t="str"/>
      <x:c r="K10" t="str"/>
    </x:row>
    <x:row r="11">
      <x:c r="A11" s="35" t="str">
        <x:v>Closing Costs</x:v>
      </x:c>
      <x:c r="B11" s="48" t="n">
        <x:v>1500</x:v>
      </x:c>
      <x:c r="C11" t="str"/>
      <x:c r="D11" s="41" t="str">
        <x:v>Buildability Gate</x:v>
      </x:c>
      <x:c r="E11" s="52" t="str">
        <x:f>IF(AND(B13=1,B14=1,B15=1,B16=1,B21=1),"PASS","REVIEW")</x:f>
        <x:v>REVIEW</x:v>
      </x:c>
      <x:c r="F11" t="str">
        <x:v>Auto-calculated. Verify assumptions before using.</x:v>
      </x:c>
      <x:c r="H11" s="46" t="str">
        <x:v>Road/easement access</x:v>
      </x:c>
      <x:c r="I11" t="str">
        <x:v>Not Started</x:v>
      </x:c>
      <x:c r="J11" t="str"/>
      <x:c r="K11" t="str"/>
    </x:row>
    <x:row r="12">
      <x:c r="A12" s="35" t="str">
        <x:v>Clearing/Survey/Entitlement</x:v>
      </x:c>
      <x:c r="B12" s="48" t="n">
        <x:v>5000</x:v>
      </x:c>
      <x:c r="C12" t="str"/>
      <x:c r="D12" s="41" t="str">
        <x:v>Decision</x:v>
      </x:c>
      <x:c r="E12" s="52" t="str">
        <x:f>IF(AND(E9&gt;10000,E10&gt;0.25,E11="PASS",E8&gt;=7),"GO",IF(E9&gt;0,"MAYBE","NO"))</x:f>
        <x:v>NO</x:v>
      </x:c>
      <x:c r="F12" t="str">
        <x:v>Auto-calculated. Verify assumptions before using.</x:v>
      </x:c>
      <x:c r="H12" s="46" t="str">
        <x:v>Back taxes/liens checked</x:v>
      </x:c>
      <x:c r="I12" t="str">
        <x:v>Not Started</x:v>
      </x:c>
      <x:c r="J12" t="str"/>
      <x:c r="K12" t="str"/>
    </x:row>
    <x:row r="13">
      <x:c r="A13" s="35" t="str">
        <x:v>Utilities Available Yes=1</x:v>
      </x:c>
      <x:c r="B13" s="48" t="n">
        <x:v>1</x:v>
      </x:c>
      <x:c r="C13" t="str"/>
      <x:c r="E13" s="53"/>
      <x:c r="H13" s="46" t="str">
        <x:v>Survey/topography/slope</x:v>
      </x:c>
      <x:c r="I13" t="str">
        <x:v>Not Started</x:v>
      </x:c>
      <x:c r="J13" t="str"/>
      <x:c r="K13" t="str"/>
    </x:row>
    <x:row r="14">
      <x:c r="A14" s="35" t="str">
        <x:v>Road Access Yes=1</x:v>
      </x:c>
      <x:c r="B14" s="48" t="n">
        <x:v>1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Zoning Allows Use Yes=1</x:v>
      </x:c>
      <x:c r="B15" s="48" t="n">
        <x:v>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Buildable Confirmed Yes=1</x:v>
      </x:c>
      <x:c r="B16" s="48" t="n">
        <x:v>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Hold Months</x:v>
      </x:c>
      <x:c r="B17" s="48" t="n">
        <x:v>6</x:v>
      </x:c>
      <x:c r="C17" t="str"/>
      <x:c r="E17" s="53"/>
    </x:row>
    <x:row r="18">
      <x:c r="A18" s="35" t="str">
        <x:v>Monthly Holding Cost</x:v>
      </x:c>
      <x:c r="B18" s="48" t="n">
        <x:v>100</x:v>
      </x:c>
      <x:c r="C18" t="str"/>
      <x:c r="E18" s="53"/>
    </x:row>
    <x:row r="19">
      <x:c r="A19" s="35" t="str">
        <x:v>Marketing Cost</x:v>
      </x:c>
      <x:c r="B19" s="48" t="n">
        <x:v>800</x:v>
      </x:c>
      <x:c r="C19" t="str"/>
      <x:c r="E19" s="53"/>
    </x:row>
    <x:row r="20">
      <x:c r="A20" s="35" t="str">
        <x:v>County Planner Call Done Yes=1</x:v>
      </x:c>
      <x:c r="B20" s="48" t="n">
        <x:v>1</x:v>
      </x:c>
      <x:c r="C20" t="str"/>
      <x:c r="E20" s="53"/>
    </x:row>
    <x:row r="21">
      <x:c r="A21" s="35" t="str">
        <x:v>Comps Confidence 1-10</x:v>
      </x:c>
      <x:c r="B21" s="48" t="n">
        <x:v>7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Mobile Home / MHP Deal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mobile home or park-owned-home deals with lot rent, repairs, title and tenant risk.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50000</x:v>
      </x:c>
      <x:c r="C8" t="str"/>
      <x:c r="D8" s="41" t="str">
        <x:v>Monthly Net Income</x:v>
      </x:c>
      <x:c r="E8" s="52" t="n">
        <x:f>B11*(1-B15)-B10-B16-B20</x:f>
        <x:v>-70</x:v>
      </x:c>
      <x:c r="F8" t="str">
        <x:v>Auto-calculated. Verify assumptions before using.</x:v>
      </x:c>
      <x:c r="H8" s="46" t="str">
        <x:v>VIN/title checked</x:v>
      </x:c>
      <x:c r="I8" t="str">
        <x:v>Not Started</x:v>
      </x:c>
      <x:c r="J8" t="str"/>
      <x:c r="K8" t="str"/>
    </x:row>
    <x:row r="9">
      <x:c r="A9" s="35" t="str">
        <x:v>Resale/Value</x:v>
      </x:c>
      <x:c r="B9" s="48" t="n">
        <x:v>85000</x:v>
      </x:c>
      <x:c r="C9" t="str"/>
      <x:c r="D9" s="41" t="str">
        <x:v>Total Cash Needed</x:v>
      </x:c>
      <x:c r="E9" s="52" t="n">
        <x:f>SUM(B8,B12:B14)</x:f>
        <x:v>59000</x:v>
      </x:c>
      <x:c r="F9" t="str">
        <x:v>Auto-calculated. Verify assumptions before using.</x:v>
      </x:c>
      <x:c r="H9" s="46" t="str">
        <x:v>Park approval obtained</x:v>
      </x:c>
      <x:c r="I9" t="str">
        <x:v>Not Started</x:v>
      </x:c>
      <x:c r="J9" t="str"/>
      <x:c r="K9" t="str"/>
    </x:row>
    <x:row r="10">
      <x:c r="A10" s="35" t="str">
        <x:v>Lot Rent Monthly</x:v>
      </x:c>
      <x:c r="B10" s="48" t="n">
        <x:v>600</x:v>
      </x:c>
      <x:c r="C10" t="str"/>
      <x:c r="D10" s="41" t="str">
        <x:v>Annual Cash-on-Cash</x:v>
      </x:c>
      <x:c r="E10" s="52" t="n">
        <x:f>IFERROR((E8*12)/E9,0)</x:f>
        <x:v>-0.01423728813559322</x:v>
      </x:c>
      <x:c r="F10" t="str">
        <x:v>Auto-calculated. Verify assumptions before using.</x:v>
      </x:c>
      <x:c r="H10" s="46" t="str">
        <x:v>Lot rent rules reviewed</x:v>
      </x:c>
      <x:c r="I10" t="str">
        <x:v>Not Started</x:v>
      </x:c>
      <x:c r="J10" t="str"/>
      <x:c r="K10" t="str"/>
    </x:row>
    <x:row r="11">
      <x:c r="A11" s="35" t="str">
        <x:v>Home Rent / Payment Income</x:v>
      </x:c>
      <x:c r="B11" s="48" t="n">
        <x:v>1200</x:v>
      </x:c>
      <x:c r="C11" t="str"/>
      <x:c r="D11" s="41" t="str">
        <x:v>Equity Spread</x:v>
      </x:c>
      <x:c r="E11" s="52" t="n">
        <x:f>B9-B8-B12</x:f>
        <x:v>27000</x:v>
      </x:c>
      <x:c r="F11" t="str">
        <x:v>Auto-calculated. Verify assumptions before using.</x:v>
      </x:c>
      <x:c r="H11" s="46" t="str">
        <x:v>Tenant status verified</x:v>
      </x:c>
      <x:c r="I11" t="str">
        <x:v>Not Started</x:v>
      </x:c>
      <x:c r="J11" t="str"/>
      <x:c r="K11" t="str"/>
    </x:row>
    <x:row r="12">
      <x:c r="A12" s="35" t="str">
        <x:v>Repairs</x:v>
      </x:c>
      <x:c r="B12" s="48" t="n">
        <x:v>8000</x:v>
      </x:c>
      <x:c r="C12" t="str"/>
      <x:c r="D12" s="41" t="str">
        <x:v>Gate</x:v>
      </x:c>
      <x:c r="E12" s="52" t="str">
        <x:f>IF(AND(B17=1,B18=1,B21=1),"PASS","REVIEW")</x:f>
        <x:v>PASS</x:v>
      </x:c>
      <x:c r="F12" t="str">
        <x:v>Auto-calculated. Verify assumptions before using.</x:v>
      </x:c>
      <x:c r="H12" s="46" t="str">
        <x:v>Repair inspection</x:v>
      </x:c>
      <x:c r="I12" t="str">
        <x:v>Not Started</x:v>
      </x:c>
      <x:c r="J12" t="str"/>
      <x:c r="K12" t="str"/>
    </x:row>
    <x:row r="13">
      <x:c r="A13" s="35" t="str">
        <x:v>Back Lot Rent/Taxes</x:v>
      </x:c>
      <x:c r="B13" s="48" t="n">
        <x:v>0</x:v>
      </x:c>
      <x:c r="C13" t="str"/>
      <x:c r="D13" s="41" t="str">
        <x:v>Decision</x:v>
      </x:c>
      <x:c r="E13" s="52" t="str">
        <x:f>IF(AND(E8&gt;250,E10&gt;0.2,E12="PASS"),"GO",IF(E8&gt;0,"MAYBE","NO"))</x:f>
        <x:v>NO</x:v>
      </x:c>
      <x:c r="F13" t="str">
        <x:v>Auto-calculated. Verify assumptions before using.</x:v>
      </x:c>
      <x:c r="H13" s="46" t="str">
        <x:v>Dealer/license rules if selling notes</x:v>
      </x:c>
      <x:c r="I13" t="str">
        <x:v>Not Started</x:v>
      </x:c>
      <x:c r="J13" t="str"/>
      <x:c r="K13" t="str"/>
    </x:row>
    <x:row r="14">
      <x:c r="A14" s="35" t="str">
        <x:v>Closing/Title Costs</x:v>
      </x:c>
      <x:c r="B14" s="48" t="n">
        <x:v>1000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Vacancy %</x:v>
      </x:c>
      <x:c r="B15" s="48" t="n">
        <x:v>0.1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Monthly Maintenance</x:v>
      </x:c>
      <x:c r="B16" s="48" t="n">
        <x:v>150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Park Approval Needed Yes=1</x:v>
      </x:c>
      <x:c r="B17" s="48" t="n">
        <x:v>1</x:v>
      </x:c>
      <x:c r="C17" t="str"/>
      <x:c r="E17" s="53"/>
    </x:row>
    <x:row r="18">
      <x:c r="A18" s="35" t="str">
        <x:v>Title/VIN Clear Yes=1</x:v>
      </x:c>
      <x:c r="B18" s="48" t="n">
        <x:v>1</x:v>
      </x:c>
      <x:c r="C18" t="str"/>
      <x:c r="E18" s="53"/>
    </x:row>
    <x:row r="19">
      <x:c r="A19" s="35" t="str">
        <x:v>Tenant Occupied Yes=1</x:v>
      </x:c>
      <x:c r="B19" s="48" t="n">
        <x:v>0</x:v>
      </x:c>
      <x:c r="C19" t="str"/>
      <x:c r="E19" s="53"/>
    </x:row>
    <x:row r="20">
      <x:c r="A20" s="35" t="str">
        <x:v>Financing Payment Monthly</x:v>
      </x:c>
      <x:c r="B20" s="48" t="n">
        <x:v>400</x:v>
      </x:c>
      <x:c r="C20" t="str"/>
      <x:c r="E20" s="53"/>
    </x:row>
    <x:row r="21">
      <x:c r="A21" s="35" t="str">
        <x:v>License/Dealer Rule Review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Multifamily T-12 Normalization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Map trailing-12 income/expenses into normalized NOI and valuation.</x:v>
      </x:c>
    </x:row>
    <x:row r="3">
      <x:c r="A3" s="10" t="str">
        <x:v>Level: Advanced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Gross Scheduled Rent Annual</x:v>
      </x:c>
      <x:c r="B8" s="48" t="n">
        <x:v>240000</x:v>
      </x:c>
      <x:c r="C8" t="str"/>
      <x:c r="D8" s="41" t="str">
        <x:v>Effective Gross Income</x:v>
      </x:c>
      <x:c r="E8" s="52" t="n">
        <x:f>(B8+B9)*(1-B10)</x:f>
        <x:v>231840</x:v>
      </x:c>
      <x:c r="F8" t="str">
        <x:v>Auto-calculated. Verify assumptions before using.</x:v>
      </x:c>
      <x:c r="H8" s="46" t="str">
        <x:v>Rent roll matches T-12</x:v>
      </x:c>
      <x:c r="I8" t="str">
        <x:v>Not Started</x:v>
      </x:c>
      <x:c r="J8" t="str"/>
      <x:c r="K8" t="str"/>
    </x:row>
    <x:row r="9">
      <x:c r="A9" s="35" t="str">
        <x:v>Other Income Annual</x:v>
      </x:c>
      <x:c r="B9" s="48" t="n">
        <x:v>12000</x:v>
      </x:c>
      <x:c r="C9" t="str"/>
      <x:c r="D9" s="41" t="str">
        <x:v>Management Fee</x:v>
      </x:c>
      <x:c r="E9" s="52" t="n">
        <x:f>E8*B16</x:f>
        <x:v>11592</x:v>
      </x:c>
      <x:c r="F9" t="str">
        <x:v>Auto-calculated. Verify assumptions before using.</x:v>
      </x:c>
      <x:c r="H9" s="46" t="str">
        <x:v>One-time expenses/addbacks identified</x:v>
      </x:c>
      <x:c r="I9" t="str">
        <x:v>Not Started</x:v>
      </x:c>
      <x:c r="J9" t="str"/>
      <x:c r="K9" t="str"/>
    </x:row>
    <x:row r="10">
      <x:c r="A10" s="35" t="str">
        <x:v>Vacancy/Credit Loss %</x:v>
      </x:c>
      <x:c r="B10" s="48" t="n">
        <x:v>0.08</x:v>
      </x:c>
      <x:c r="C10" t="str"/>
      <x:c r="D10" s="41" t="str">
        <x:v>Replacement Reserves</x:v>
      </x:c>
      <x:c r="E10" s="52" t="n">
        <x:f>B18*B17</x:f>
        <x:v>6000</x:v>
      </x:c>
      <x:c r="F10" t="str">
        <x:v>Auto-calculated. Verify assumptions before using.</x:v>
      </x:c>
      <x:c r="H10" s="46" t="str">
        <x:v>Taxes reset modeled</x:v>
      </x:c>
      <x:c r="I10" t="str">
        <x:v>Not Started</x:v>
      </x:c>
      <x:c r="J10" t="str"/>
      <x:c r="K10" t="str"/>
    </x:row>
    <x:row r="11">
      <x:c r="A11" s="35" t="str">
        <x:v>Taxes Annual</x:v>
      </x:c>
      <x:c r="B11" s="48" t="n">
        <x:v>25000</x:v>
      </x:c>
      <x:c r="C11" t="str"/>
      <x:c r="D11" s="41" t="str">
        <x:v>Normalized Expenses</x:v>
      </x:c>
      <x:c r="E11" s="52" t="n">
        <x:f>SUM(B11:B15)+E9+E10-B21</x:f>
        <x:v>112592</x:v>
      </x:c>
      <x:c r="F11" t="str">
        <x:v>Auto-calculated. Verify assumptions before using.</x:v>
      </x:c>
      <x:c r="H11" s="46" t="str">
        <x:v>Insurance quote updated</x:v>
      </x:c>
      <x:c r="I11" t="str">
        <x:v>Not Started</x:v>
      </x:c>
      <x:c r="J11" t="str"/>
      <x:c r="K11" t="str"/>
    </x:row>
    <x:row r="12">
      <x:c r="A12" s="35" t="str">
        <x:v>Insurance Annual</x:v>
      </x:c>
      <x:c r="B12" s="48" t="n">
        <x:v>18000</x:v>
      </x:c>
      <x:c r="C12" t="str"/>
      <x:c r="D12" s="41" t="str">
        <x:v>Normalized NOI</x:v>
      </x:c>
      <x:c r="E12" s="52" t="n">
        <x:f>E8-E11</x:f>
        <x:v>119248</x:v>
      </x:c>
      <x:c r="F12" t="str">
        <x:v>Auto-calculated. Verify assumptions before using.</x:v>
      </x:c>
      <x:c r="H12" s="46" t="str">
        <x:v>Management/reserves normalized</x:v>
      </x:c>
      <x:c r="I12" t="str">
        <x:v>Not Started</x:v>
      </x:c>
      <x:c r="J12" t="str"/>
      <x:c r="K12" t="str"/>
    </x:row>
    <x:row r="13">
      <x:c r="A13" s="35" t="str">
        <x:v>Repairs/Maint Annual</x:v>
      </x:c>
      <x:c r="B13" s="48" t="n">
        <x:v>20000</x:v>
      </x:c>
      <x:c r="C13" t="str"/>
      <x:c r="D13" s="41" t="str">
        <x:v>Value by Cap Rate</x:v>
      </x:c>
      <x:c r="E13" s="52" t="n">
        <x:f>IFERROR(E12/B19,0)</x:f>
        <x:v>1834584.6153846153</x:v>
      </x:c>
      <x:c r="F13" t="str">
        <x:v>Auto-calculated. Verify assumptions before using.</x:v>
      </x:c>
      <x:c r="H13" s="46" t="str">
        <x:v>Cap rate comps sourced</x:v>
      </x:c>
      <x:c r="I13" t="str">
        <x:v>Not Started</x:v>
      </x:c>
      <x:c r="J13" t="str"/>
      <x:c r="K13" t="str"/>
    </x:row>
    <x:row r="14">
      <x:c r="A14" s="35" t="str">
        <x:v>Payroll/Admin Annual</x:v>
      </x:c>
      <x:c r="B14" s="48" t="n">
        <x:v>15000</x:v>
      </x:c>
      <x:c r="C14" t="str"/>
      <x:c r="D14" s="41" t="str">
        <x:v>Price vs Value Spread</x:v>
      </x:c>
      <x:c r="E14" s="52" t="n">
        <x:f>E13-B20</x:f>
        <x:v>-565415.3846153847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Utilities Annual</x:v>
      </x:c>
      <x:c r="B15" s="48" t="n">
        <x:v>22000</x:v>
      </x:c>
      <x:c r="C15" t="str"/>
      <x:c r="D15" s="41" t="str">
        <x:v>Decision</x:v>
      </x:c>
      <x:c r="E15" s="52" t="str">
        <x:f>IF(E13&gt;B20*1.05,"GO",IF(E13&gt;=B20,"MAYBE","NO"))</x:f>
        <x:v>NO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Management %</x:v>
      </x:c>
      <x:c r="B16" s="48" t="n">
        <x:v>0.05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Replacement Reserves / Unit / Year</x:v>
      </x:c>
      <x:c r="B17" s="48" t="n">
        <x:v>300</x:v>
      </x:c>
      <x:c r="C17" t="str"/>
      <x:c r="E17" s="53"/>
    </x:row>
    <x:row r="18">
      <x:c r="A18" s="35" t="str">
        <x:v>Units</x:v>
      </x:c>
      <x:c r="B18" s="48" t="n">
        <x:v>20</x:v>
      </x:c>
      <x:c r="C18" t="str"/>
      <x:c r="E18" s="53"/>
    </x:row>
    <x:row r="19">
      <x:c r="A19" s="35" t="str">
        <x:v>Market Cap Rate</x:v>
      </x:c>
      <x:c r="B19" s="48" t="n">
        <x:v>0.065</x:v>
      </x:c>
      <x:c r="C19" t="str"/>
      <x:c r="E19" s="53"/>
    </x:row>
    <x:row r="20">
      <x:c r="A20" s="35" t="str">
        <x:v>Asking Price</x:v>
      </x:c>
      <x:c r="B20" s="48" t="n">
        <x:v>2400000</x:v>
      </x:c>
      <x:c r="C20" t="str"/>
      <x:c r="E20" s="53"/>
    </x:row>
    <x:row r="21">
      <x:c r="A21" s="35" t="str">
        <x:v>One-Time Addbacks</x:v>
      </x:c>
      <x:c r="B21" s="48" t="n">
        <x:v>5000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Multifamily Pro Forma / Value-Add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upside from rent increases, expense changes, cap rate and debt assumptions.</x:v>
      </x:c>
    </x:row>
    <x:row r="3">
      <x:c r="A3" s="10" t="str">
        <x:v>Level: Advanced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Current NOI</x:v>
      </x:c>
      <x:c r="B8" s="48" t="n">
        <x:v>140000</x:v>
      </x:c>
      <x:c r="C8" t="str"/>
      <x:c r="D8" s="41" t="str">
        <x:v>Current Cap Rate</x:v>
      </x:c>
      <x:c r="E8" s="52" t="n">
        <x:f>IFERROR(B8/B10,0)</x:f>
        <x:v>0.06086956521739131</x:v>
      </x:c>
      <x:c r="F8" t="str">
        <x:v>Auto-calculated. Verify assumptions before using.</x:v>
      </x:c>
      <x:c r="H8" s="46" t="str">
        <x:v>Rent premiums supported</x:v>
      </x:c>
      <x:c r="I8" t="str">
        <x:v>Not Started</x:v>
      </x:c>
      <x:c r="J8" t="str"/>
      <x:c r="K8" t="str"/>
    </x:row>
    <x:row r="9">
      <x:c r="A9" s="35" t="str">
        <x:v>Projected Stabilized NOI</x:v>
      </x:c>
      <x:c r="B9" s="48" t="n">
        <x:v>190000</x:v>
      </x:c>
      <x:c r="C9" t="str"/>
      <x:c r="D9" s="41" t="str">
        <x:v>Stabilized Value</x:v>
      </x:c>
      <x:c r="E9" s="52" t="n">
        <x:f>IFERROR(B9/B12,0)</x:f>
        <x:v>2923076.923076923</x:v>
      </x:c>
      <x:c r="F9" t="str">
        <x:v>Auto-calculated. Verify assumptions before using.</x:v>
      </x:c>
      <x:c r="H9" s="46" t="str">
        <x:v>CapEx scope/bids</x:v>
      </x:c>
      <x:c r="I9" t="str">
        <x:v>Not Started</x:v>
      </x:c>
      <x:c r="J9" t="str"/>
      <x:c r="K9" t="str"/>
    </x:row>
    <x:row r="10">
      <x:c r="A10" s="35" t="str">
        <x:v>Purchase Price</x:v>
      </x:c>
      <x:c r="B10" s="48" t="n">
        <x:v>2300000</x:v>
      </x:c>
      <x:c r="C10" t="str"/>
      <x:c r="D10" s="41" t="str">
        <x:v>All-In Basis</x:v>
      </x:c>
      <x:c r="E10" s="52" t="n">
        <x:f>B10+B11</x:f>
        <x:v>2600000</x:v>
      </x:c>
      <x:c r="F10" t="str">
        <x:v>Auto-calculated. Verify assumptions before using.</x:v>
      </x:c>
      <x:c r="H10" s="46" t="str">
        <x:v>Debt terms confirmed</x:v>
      </x:c>
      <x:c r="I10" t="str">
        <x:v>Not Started</x:v>
      </x:c>
      <x:c r="J10" t="str"/>
      <x:c r="K10" t="str"/>
    </x:row>
    <x:row r="11">
      <x:c r="A11" s="35" t="str">
        <x:v>CapEx Budget</x:v>
      </x:c>
      <x:c r="B11" s="48" t="n">
        <x:v>300000</x:v>
      </x:c>
      <x:c r="C11" t="str"/>
      <x:c r="D11" s="41" t="str">
        <x:v>Value Creation</x:v>
      </x:c>
      <x:c r="E11" s="52" t="n">
        <x:f>E9-E10</x:f>
        <x:v>323076.923076923</x:v>
      </x:c>
      <x:c r="F11" t="str">
        <x:v>Auto-calculated. Verify assumptions before using.</x:v>
      </x:c>
      <x:c r="H11" s="46" t="str">
        <x:v>Tax/insurance resets</x:v>
      </x:c>
      <x:c r="I11" t="str">
        <x:v>Not Started</x:v>
      </x:c>
      <x:c r="J11" t="str"/>
      <x:c r="K11" t="str"/>
    </x:row>
    <x:row r="12">
      <x:c r="A12" s="35" t="str">
        <x:v>Stabilized Cap Rate</x:v>
      </x:c>
      <x:c r="B12" s="48" t="n">
        <x:v>0.065</x:v>
      </x:c>
      <x:c r="C12" t="str"/>
      <x:c r="D12" s="41" t="str">
        <x:v>Annual Debt Service</x:v>
      </x:c>
      <x:c r="E12" s="52" t="n">
        <x:f>IFERROR(PMT(B14/12,B15*12,-B13)*12,0)</x:f>
        <x:v>135721.70901655336</x:v>
      </x:c>
      <x:c r="F12" t="str">
        <x:v>Auto-calculated. Verify assumptions before using.</x:v>
      </x:c>
      <x:c r="H12" s="46" t="str">
        <x:v>Exit cap sensitivity</x:v>
      </x:c>
      <x:c r="I12" t="str">
        <x:v>Not Started</x:v>
      </x:c>
      <x:c r="J12" t="str"/>
      <x:c r="K12" t="str"/>
    </x:row>
    <x:row r="13">
      <x:c r="A13" s="35" t="str">
        <x:v>Loan Amount</x:v>
      </x:c>
      <x:c r="B13" s="48" t="n">
        <x:v>1700000</x:v>
      </x:c>
      <x:c r="C13" t="str"/>
      <x:c r="D13" s="41" t="str">
        <x:v>Stabilized DSCR</x:v>
      </x:c>
      <x:c r="E13" s="52" t="n">
        <x:f>IFERROR(B9/E12,0)</x:f>
        <x:v>1.3999234269650005</x:v>
      </x:c>
      <x:c r="F13" t="str">
        <x:v>Auto-calculated. Verify assumptions before using.</x:v>
      </x:c>
      <x:c r="H13" s="46" t="str">
        <x:v>Investor waterfall reviewed</x:v>
      </x:c>
      <x:c r="I13" t="str">
        <x:v>Not Started</x:v>
      </x:c>
      <x:c r="J13" t="str"/>
      <x:c r="K13" t="str"/>
    </x:row>
    <x:row r="14">
      <x:c r="A14" s="35" t="str">
        <x:v>Interest Rate</x:v>
      </x:c>
      <x:c r="B14" s="48" t="n">
        <x:v>0.07</x:v>
      </x:c>
      <x:c r="C14" t="str"/>
      <x:c r="D14" s="41" t="str">
        <x:v>Exit Value</x:v>
      </x:c>
      <x:c r="E14" s="52" t="n">
        <x:f>IFERROR(B9/B17,0)</x:f>
        <x:v>2714285.714285714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Amort Years</x:v>
      </x:c>
      <x:c r="B15" s="48" t="n">
        <x:v>30</x:v>
      </x:c>
      <x:c r="C15" t="str"/>
      <x:c r="D15" s="41" t="str">
        <x:v>Net Sale Proceeds</x:v>
      </x:c>
      <x:c r="E15" s="52" t="n">
        <x:f>E14*(1-B18)-B13</x:f>
        <x:v>932857.1428571427</x:v>
      </x:c>
      <x:c r="F15" t="str">
        <x:v>Auto-calculated. Verify assumptions before using.</x:v>
      </x:c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Hold Years</x:v>
      </x:c>
      <x:c r="B16" s="48" t="n">
        <x:v>5</x:v>
      </x:c>
      <x:c r="C16" t="str"/>
      <x:c r="D16" s="41" t="str">
        <x:v>Equity Multiple Before Splits</x:v>
      </x:c>
      <x:c r="E16" s="52" t="n">
        <x:f>IFERROR((E15+(B9-E12)*B16)/B19,0)</x:f>
        <x:v>1.3380539975270844</x:v>
      </x:c>
      <x:c r="F16" t="str">
        <x:v>Auto-calculated. Verify assumptions before using.</x:v>
      </x:c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Exit Cap Rate</x:v>
      </x:c>
      <x:c r="B17" s="48" t="n">
        <x:v>0.07</x:v>
      </x:c>
      <x:c r="C17" t="str"/>
      <x:c r="D17" s="41" t="str">
        <x:v>Decision</x:v>
      </x:c>
      <x:c r="E17" s="52" t="str">
        <x:f>IF(AND(E13&gt;=1.25,E16&gt;=1.5,E11&gt;0),"GO",IF(E13&gt;=1.1,"MAYBE","NO"))</x:f>
        <x:v>MAYBE</x:v>
      </x:c>
      <x:c r="F17" t="str">
        <x:v>Auto-calculated. Verify assumptions before using.</x:v>
      </x:c>
    </x:row>
    <x:row r="18">
      <x:c r="A18" s="35" t="str">
        <x:v>Selling Costs %</x:v>
      </x:c>
      <x:c r="B18" s="48" t="n">
        <x:v>0.03</x:v>
      </x:c>
      <x:c r="C18" t="str"/>
      <x:c r="E18" s="53"/>
    </x:row>
    <x:row r="19">
      <x:c r="A19" s="35" t="str">
        <x:v>Equity Raised</x:v>
      </x:c>
      <x:c r="B19" s="48" t="n">
        <x:v>900000</x:v>
      </x:c>
      <x:c r="C19" t="str"/>
      <x:c r="E19" s="53"/>
    </x:row>
    <x:row r="20">
      <x:c r="A20" s="35" t="str">
        <x:v>Preferred Return %</x:v>
      </x:c>
      <x:c r="B20" s="48" t="n">
        <x:v>0.08</x:v>
      </x:c>
      <x:c r="C20" t="str"/>
      <x:c r="E20" s="53"/>
    </x:row>
    <x:row r="21">
      <x:c r="A21" s="35" t="str">
        <x:v>Sponsor Promote %</x:v>
      </x:c>
      <x:c r="B21" s="48" t="n">
        <x:v>0.2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Commercial Lease / Triple-Net Deal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commercial property income, lease quality, tenant risk, cap rate and financing.</x:v>
      </x:c>
    </x:row>
    <x:row r="3">
      <x:c r="A3" s="10" t="str">
        <x:v>Level: Advanced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Purchase Price</x:v>
      </x:c>
      <x:c r="B8" s="48" t="n">
        <x:v>1000000</x:v>
      </x:c>
      <x:c r="C8" t="str"/>
      <x:c r="D8" s="41" t="str">
        <x:v>Effective Gross Income</x:v>
      </x:c>
      <x:c r="E8" s="52" t="n">
        <x:f>(B9+B10)*(1-B12)</x:f>
        <x:v>99750</x:v>
      </x:c>
      <x:c r="F8" t="str">
        <x:v>Auto-calculated. Verify assumptions before using.</x:v>
      </x:c>
      <x:c r="H8" s="46" t="str">
        <x:v>Lease abstracted</x:v>
      </x:c>
      <x:c r="I8" t="str">
        <x:v>Not Started</x:v>
      </x:c>
      <x:c r="J8" t="str"/>
      <x:c r="K8" t="str"/>
    </x:row>
    <x:row r="9">
      <x:c r="A9" s="35" t="str">
        <x:v>Annual Base Rent</x:v>
      </x:c>
      <x:c r="B9" s="48" t="n">
        <x:v>85000</x:v>
      </x:c>
      <x:c r="C9" t="str"/>
      <x:c r="D9" s="41" t="str">
        <x:v>NOI</x:v>
      </x:c>
      <x:c r="E9" s="52" t="n">
        <x:f>E8-B11-B13</x:f>
        <x:v>84750</x:v>
      </x:c>
      <x:c r="F9" t="str">
        <x:v>Auto-calculated. Verify assumptions before using.</x:v>
      </x:c>
      <x:c r="H9" s="46" t="str">
        <x:v>Estoppel/SNDA received</x:v>
      </x:c>
      <x:c r="I9" t="str">
        <x:v>Not Started</x:v>
      </x:c>
      <x:c r="J9" t="str"/>
      <x:c r="K9" t="str"/>
    </x:row>
    <x:row r="10">
      <x:c r="A10" s="35" t="str">
        <x:v>Expense Reimbursements</x:v>
      </x:c>
      <x:c r="B10" s="48" t="n">
        <x:v>20000</x:v>
      </x:c>
      <x:c r="C10" t="str"/>
      <x:c r="D10" s="41" t="str">
        <x:v>Cap Rate</x:v>
      </x:c>
      <x:c r="E10" s="52" t="n">
        <x:f>IFERROR(E9/B8,0)</x:f>
        <x:v>0.08475</x:v>
      </x:c>
      <x:c r="F10" t="str">
        <x:v>Auto-calculated. Verify assumptions before using.</x:v>
      </x:c>
      <x:c r="H10" s="46" t="str">
        <x:v>Tenant financials/credit checked</x:v>
      </x:c>
      <x:c r="I10" t="str">
        <x:v>Not Started</x:v>
      </x:c>
      <x:c r="J10" t="str"/>
      <x:c r="K10" t="str"/>
    </x:row>
    <x:row r="11">
      <x:c r="A11" s="35" t="str">
        <x:v>Owner Expenses Annual</x:v>
      </x:c>
      <x:c r="B11" s="48" t="n">
        <x:v>10000</x:v>
      </x:c>
      <x:c r="C11" t="str"/>
      <x:c r="D11" s="41" t="str">
        <x:v>Debt Service Annual</x:v>
      </x:c>
      <x:c r="E11" s="52" t="n">
        <x:f>IFERROR(PMT(B18/12,B19*12,-B17)*12,0)</x:f>
        <x:v>62075.25893498659</x:v>
      </x:c>
      <x:c r="F11" t="str">
        <x:v>Auto-calculated. Verify assumptions before using.</x:v>
      </x:c>
      <x:c r="H11" s="46" t="str">
        <x:v>CAM/reimbursements verified</x:v>
      </x:c>
      <x:c r="I11" t="str">
        <x:v>Not Started</x:v>
      </x:c>
      <x:c r="J11" t="str"/>
      <x:c r="K11" t="str"/>
    </x:row>
    <x:row r="12">
      <x:c r="A12" s="35" t="str">
        <x:v>Vacancy/Credit Loss %</x:v>
      </x:c>
      <x:c r="B12" s="48" t="n">
        <x:v>0.05</x:v>
      </x:c>
      <x:c r="C12" t="str"/>
      <x:c r="D12" s="41" t="str">
        <x:v>DSCR</x:v>
      </x:c>
      <x:c r="E12" s="52" t="n">
        <x:f>IFERROR(E9/E11,0)</x:f>
        <x:v>1.3652782357100015</x:v>
      </x:c>
      <x:c r="F12" t="str">
        <x:v>Auto-calculated. Verify assumptions before using.</x:v>
      </x:c>
      <x:c r="H12" s="46" t="str">
        <x:v>Environmental/phase I need checked</x:v>
      </x:c>
      <x:c r="I12" t="str">
        <x:v>Not Started</x:v>
      </x:c>
      <x:c r="J12" t="str"/>
      <x:c r="K12" t="str"/>
    </x:row>
    <x:row r="13">
      <x:c r="A13" s="35" t="str">
        <x:v>CapEx Reserve Annual</x:v>
      </x:c>
      <x:c r="B13" s="48" t="n">
        <x:v>5000</x:v>
      </x:c>
      <x:c r="C13" t="str"/>
      <x:c r="D13" s="41" t="str">
        <x:v>Value by Cap</x:v>
      </x:c>
      <x:c r="E13" s="52" t="n">
        <x:f>IFERROR(E9/B16,0)</x:f>
        <x:v>1130000</x:v>
      </x:c>
      <x:c r="F13" t="str">
        <x:v>Auto-calculated. Verify assumptions before using.</x:v>
      </x:c>
      <x:c r="H13" s="46" t="str">
        <x:v>Roof/HVAC capital risk</x:v>
      </x:c>
      <x:c r="I13" t="str">
        <x:v>Not Started</x:v>
      </x:c>
      <x:c r="J13" t="str"/>
      <x:c r="K13" t="str"/>
    </x:row>
    <x:row r="14">
      <x:c r="A14" s="35" t="str">
        <x:v>Tenant Credit Score 1-10</x:v>
      </x:c>
      <x:c r="B14" s="48" t="n">
        <x:v>7</x:v>
      </x:c>
      <x:c r="C14" t="str"/>
      <x:c r="D14" s="41" t="str">
        <x:v>Decision</x:v>
      </x:c>
      <x:c r="E14" s="52" t="str">
        <x:f>IF(AND(E10&gt;=B16,E12&gt;=1.25,B14&gt;=7,B15&gt;=3,B21=1),"GO",IF(E12&gt;=1.1,"MAYBE","NO"))</x:f>
        <x:v>GO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Lease Years Remaining</x:v>
      </x:c>
      <x:c r="B15" s="48" t="n">
        <x:v>5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Market Cap Rate</x:v>
      </x:c>
      <x:c r="B16" s="48" t="n">
        <x:v>0.075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Loan Amount</x:v>
      </x:c>
      <x:c r="B17" s="48" t="n">
        <x:v>700000</x:v>
      </x:c>
      <x:c r="C17" t="str"/>
      <x:c r="E17" s="53"/>
    </x:row>
    <x:row r="18">
      <x:c r="A18" s="35" t="str">
        <x:v>Interest Rate</x:v>
      </x:c>
      <x:c r="B18" s="48" t="n">
        <x:v>0.075</x:v>
      </x:c>
      <x:c r="C18" t="str"/>
      <x:c r="E18" s="53"/>
    </x:row>
    <x:row r="19">
      <x:c r="A19" s="35" t="str">
        <x:v>Amort Years</x:v>
      </x:c>
      <x:c r="B19" s="48" t="n">
        <x:v>25</x:v>
      </x:c>
      <x:c r="C19" t="str"/>
      <x:c r="E19" s="53"/>
    </x:row>
    <x:row r="20">
      <x:c r="A20" s="35" t="str">
        <x:v>Environmental Risk Score 1-10</x:v>
      </x:c>
      <x:c r="B20" s="48" t="n">
        <x:v>3</x:v>
      </x:c>
      <x:c r="C20" t="str"/>
      <x:c r="E20" s="53"/>
    </x:row>
    <x:row r="21">
      <x:c r="A21" s="35" t="str">
        <x:v>Estoppel/SNDA Received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Pre-Foreclosure / Arrears Rescue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Evaluate deals involving arrears, reinstatement, payoff, foreclosure timeline and homeowner protection.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Property Value</x:v>
      </x:c>
      <x:c r="B8" s="48" t="n">
        <x:v>260000</x:v>
      </x:c>
      <x:c r="C8" t="str"/>
      <x:c r="D8" s="41" t="str">
        <x:v>Total Cash Needed</x:v>
      </x:c>
      <x:c r="E8" s="52" t="n">
        <x:f>SUM(B10:B13,B17)</x:f>
        <x:v>28700</x:v>
      </x:c>
      <x:c r="F8" t="str">
        <x:v>Auto-calculated. Verify assumptions before using.</x:v>
      </x:c>
      <x:c r="H8" s="46" t="str">
        <x:v>Foreclosure timeline verified</x:v>
      </x:c>
      <x:c r="I8" t="str">
        <x:v>Not Started</x:v>
      </x:c>
      <x:c r="J8" t="str"/>
      <x:c r="K8" t="str"/>
    </x:row>
    <x:row r="9">
      <x:c r="A9" s="35" t="str">
        <x:v>Loan Balance</x:v>
      </x:c>
      <x:c r="B9" s="48" t="n">
        <x:v>210000</x:v>
      </x:c>
      <x:c r="C9" t="str"/>
      <x:c r="D9" s="41" t="str">
        <x:v>Equity After Debt/Cash</x:v>
      </x:c>
      <x:c r="E9" s="52" t="n">
        <x:f>B8-B9-E8</x:f>
        <x:v>21300</x:v>
      </x:c>
      <x:c r="F9" t="str">
        <x:v>Auto-calculated. Verify assumptions before using.</x:v>
      </x:c>
      <x:c r="H9" s="46" t="str">
        <x:v>Payoff/reinstatement requested</x:v>
      </x:c>
      <x:c r="I9" t="str">
        <x:v>Not Started</x:v>
      </x:c>
      <x:c r="J9" t="str"/>
      <x:c r="K9" t="str"/>
    </x:row>
    <x:row r="10">
      <x:c r="A10" s="35" t="str">
        <x:v>Arrears/Reinstatement</x:v>
      </x:c>
      <x:c r="B10" s="48" t="n">
        <x:v>12000</x:v>
      </x:c>
      <x:c r="C10" t="str"/>
      <x:c r="D10" s="41" t="str">
        <x:v>Monthly Cash Flow if Rental</x:v>
      </x:c>
      <x:c r="E10" s="52" t="n">
        <x:f>B15-B11-500</x:f>
        <x:v>300</x:v>
      </x:c>
      <x:c r="F10" t="str">
        <x:v>Auto-calculated. Verify assumptions before using.</x:v>
      </x:c>
      <x:c r="H10" s="46" t="str">
        <x:v>Homeowner disclosures/protections</x:v>
      </x:c>
      <x:c r="I10" t="str">
        <x:v>Not Started</x:v>
      </x:c>
      <x:c r="J10" t="str"/>
      <x:c r="K10" t="str"/>
    </x:row>
    <x:row r="11">
      <x:c r="A11" s="35" t="str">
        <x:v>Monthly PITI</x:v>
      </x:c>
      <x:c r="B11" s="48" t="n">
        <x:v>1700</x:v>
      </x:c>
      <x:c r="C11" t="str"/>
      <x:c r="D11" s="41" t="str">
        <x:v>Timeline Gate</x:v>
      </x:c>
      <x:c r="E11" s="52" t="str">
        <x:f>IF(B16&gt;=14,"PASS","URGENT")</x:f>
        <x:v>PASS</x:v>
      </x:c>
      <x:c r="F11" t="str">
        <x:v>Auto-calculated. Verify assumptions before using.</x:v>
      </x:c>
      <x:c r="H11" s="46" t="str">
        <x:v>Independent attorney/advisor recommended</x:v>
      </x:c>
      <x:c r="I11" t="str">
        <x:v>Not Started</x:v>
      </x:c>
      <x:c r="J11" t="str"/>
      <x:c r="K11" t="str"/>
    </x:row>
    <x:row r="12">
      <x:c r="A12" s="35" t="str">
        <x:v>Seller Cash Needed</x:v>
      </x:c>
      <x:c r="B12" s="48" t="n">
        <x:v>3000</x:v>
      </x:c>
      <x:c r="C12" t="str"/>
      <x:c r="D12" s="41" t="str">
        <x:v>Consumer Protection Gate</x:v>
      </x:c>
      <x:c r="E12" s="52" t="str">
        <x:f>IF(AND(B18=1,B19=1,B20=1,B21=1),"PASS","FAIL")</x:f>
        <x:v>PASS</x:v>
      </x:c>
      <x:c r="F12" t="str">
        <x:v>Auto-calculated. Verify assumptions before using.</x:v>
      </x:c>
      <x:c r="H12" s="46" t="str">
        <x:v>Junior liens checked</x:v>
      </x:c>
      <x:c r="I12" t="str">
        <x:v>Not Started</x:v>
      </x:c>
      <x:c r="J12" t="str"/>
      <x:c r="K12" t="str"/>
    </x:row>
    <x:row r="13">
      <x:c r="A13" s="35" t="str">
        <x:v>Closing Costs</x:v>
      </x:c>
      <x:c r="B13" s="48" t="n">
        <x:v>7000</x:v>
      </x:c>
      <x:c r="C13" t="str"/>
      <x:c r="D13" s="41" t="str">
        <x:v>Decision</x:v>
      </x:c>
      <x:c r="E13" s="52" t="str">
        <x:f>IF(AND(E9&gt;20000,E10&gt;0,E11="PASS",E12="PASS"),"GO",IF(E12="FAIL","NO - LEGAL RISK","MAYBE"))</x:f>
        <x:v>GO</x:v>
      </x:c>
      <x:c r="F13" t="str">
        <x:v>Auto-calculated. Verify assumptions before using.</x:v>
      </x:c>
      <x:c r="H13" s="46" t="str">
        <x:v>Written rescue compliance review</x:v>
      </x:c>
      <x:c r="I13" t="str">
        <x:v>Not Started</x:v>
      </x:c>
      <x:c r="J13" t="str"/>
      <x:c r="K13" t="str"/>
    </x:row>
    <x:row r="14">
      <x:c r="A14" s="35" t="str">
        <x:v>Repairs</x:v>
      </x:c>
      <x:c r="B14" s="48" t="n">
        <x:v>15000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Market Rent</x:v>
      </x:c>
      <x:c r="B15" s="48" t="n">
        <x:v>2500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Foreclosure Sale Days Away</x:v>
      </x:c>
      <x:c r="B16" s="48" t="n">
        <x:v>21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Junior Liens/Taxes</x:v>
      </x:c>
      <x:c r="B17" s="48" t="n">
        <x:v>5000</x:v>
      </x:c>
      <x:c r="C17" t="str"/>
      <x:c r="E17" s="53"/>
    </x:row>
    <x:row r="18">
      <x:c r="A18" s="35" t="str">
        <x:v>Homeowner Occupied Yes=1</x:v>
      </x:c>
      <x:c r="B18" s="48" t="n">
        <x:v>1</x:v>
      </x:c>
      <x:c r="C18" t="str"/>
      <x:c r="E18" s="53"/>
    </x:row>
    <x:row r="19">
      <x:c r="A19" s="35" t="str">
        <x:v>Equity Protection/Legal Review Yes=1</x:v>
      </x:c>
      <x:c r="B19" s="48" t="n">
        <x:v>1</x:v>
      </x:c>
      <x:c r="C19" t="str"/>
      <x:c r="E19" s="53"/>
    </x:row>
    <x:row r="20">
      <x:c r="A20" s="35" t="str">
        <x:v>Rescue Scam Compliance Review Yes=1</x:v>
      </x:c>
      <x:c r="B20" s="48" t="n">
        <x:v>1</x:v>
      </x:c>
      <x:c r="C20" t="str"/>
      <x:c r="E20" s="53"/>
    </x:row>
    <x:row r="21">
      <x:c r="A21" s="35" t="str">
        <x:v>Seller Has Independent Advice Yes=1</x:v>
      </x:c>
      <x:c r="B21" s="48" t="n">
        <x:v>1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Probate / Estate Deal Intake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Analyze estate-owned properties where authority, heirs, title and timing are central risks.</x:v>
      </x:c>
    </x:row>
    <x:row r="3">
      <x:c r="A3" s="10" t="str">
        <x:v>Level: Intermediate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Estimated ARV</x:v>
      </x:c>
      <x:c r="B8" s="48" t="n">
        <x:v>250000</x:v>
      </x:c>
      <x:c r="C8" t="str"/>
      <x:c r="D8" s="41" t="str">
        <x:v>Total Basis</x:v>
      </x:c>
      <x:c r="E8" s="52" t="n">
        <x:f>SUM(B9:B13)+B8</x:f>
        <x:v>462000</x:v>
      </x:c>
      <x:c r="F8" t="str">
        <x:v>Auto-calculated. Verify assumptions before using.</x:v>
      </x:c>
      <x:c r="H8" s="46" t="str">
        <x:v>PR/executor authority verified</x:v>
      </x:c>
      <x:c r="I8" t="str">
        <x:v>Not Started</x:v>
      </x:c>
      <x:c r="J8" t="str"/>
      <x:c r="K8" t="str"/>
    </x:row>
    <x:row r="9">
      <x:c r="A9" s="35" t="str">
        <x:v>Asking Price</x:v>
      </x:c>
      <x:c r="B9" s="48" t="n">
        <x:v>160000</x:v>
      </x:c>
      <x:c r="C9" t="str"/>
      <x:c r="D9" s="41" t="str">
        <x:v>Projected Net Sale</x:v>
      </x:c>
      <x:c r="E9" s="52" t="n">
        <x:f>B20*(1-B21)</x:f>
        <x:v>211600</x:v>
      </x:c>
      <x:c r="F9" t="str">
        <x:v>Auto-calculated. Verify assumptions before using.</x:v>
      </x:c>
      <x:c r="H9" s="46" t="str">
        <x:v>Court approval need checked</x:v>
      </x:c>
      <x:c r="I9" t="str">
        <x:v>Not Started</x:v>
      </x:c>
      <x:c r="J9" t="str"/>
      <x:c r="K9" t="str"/>
    </x:row>
    <x:row r="10">
      <x:c r="A10" s="35" t="str">
        <x:v>Repairs</x:v>
      </x:c>
      <x:c r="B10" s="48" t="n">
        <x:v>35000</x:v>
      </x:c>
      <x:c r="C10" t="str"/>
      <x:c r="D10" s="41" t="str">
        <x:v>Net Profit</x:v>
      </x:c>
      <x:c r="E10" s="52" t="n">
        <x:f>E9-E8</x:f>
        <x:v>-250400</x:v>
      </x:c>
      <x:c r="F10" t="str">
        <x:v>Auto-calculated. Verify assumptions before using.</x:v>
      </x:c>
      <x:c r="H10" s="46" t="str">
        <x:v>All heirs/consents mapped</x:v>
      </x:c>
      <x:c r="I10" t="str">
        <x:v>Not Started</x:v>
      </x:c>
      <x:c r="J10" t="str"/>
      <x:c r="K10" t="str"/>
    </x:row>
    <x:row r="11">
      <x:c r="A11" s="35" t="str">
        <x:v>Back Taxes/Liens</x:v>
      </x:c>
      <x:c r="B11" s="48" t="n">
        <x:v>8000</x:v>
      </x:c>
      <x:c r="C11" t="str"/>
      <x:c r="D11" s="41" t="str">
        <x:v>Authority Gate</x:v>
      </x:c>
      <x:c r="E11" s="52" t="str">
        <x:f>IF(AND(B15=1,B16=1,B17=1),"PASS","REVIEW")</x:f>
        <x:v>REVIEW</x:v>
      </x:c>
      <x:c r="F11" t="str">
        <x:v>Auto-calculated. Verify assumptions before using.</x:v>
      </x:c>
      <x:c r="H11" s="46" t="str">
        <x:v>Title insurability</x:v>
      </x:c>
      <x:c r="I11" t="str">
        <x:v>Not Started</x:v>
      </x:c>
      <x:c r="J11" t="str"/>
      <x:c r="K11" t="str"/>
    </x:row>
    <x:row r="12">
      <x:c r="A12" s="35" t="str">
        <x:v>Probate/Admin Costs</x:v>
      </x:c>
      <x:c r="B12" s="48" t="n">
        <x:v>3000</x:v>
      </x:c>
      <x:c r="C12" t="str"/>
      <x:c r="D12" s="41" t="str">
        <x:v>Timeline Holding Cost</x:v>
      </x:c>
      <x:c r="E12" s="52" t="n">
        <x:f>B18/30*B19</x:f>
        <x:v>1000</x:v>
      </x:c>
      <x:c r="F12" t="str">
        <x:v>Auto-calculated. Verify assumptions before using.</x:v>
      </x:c>
      <x:c r="H12" s="46" t="str">
        <x:v>Personal property/occupancy plan</x:v>
      </x:c>
      <x:c r="I12" t="str">
        <x:v>Not Started</x:v>
      </x:c>
      <x:c r="J12" t="str"/>
      <x:c r="K12" t="str"/>
    </x:row>
    <x:row r="13">
      <x:c r="A13" s="35" t="str">
        <x:v>Closing Costs</x:v>
      </x:c>
      <x:c r="B13" s="48" t="n">
        <x:v>6000</x:v>
      </x:c>
      <x:c r="C13" t="str"/>
      <x:c r="D13" s="41" t="str">
        <x:v>Decision</x:v>
      </x:c>
      <x:c r="E13" s="52" t="str">
        <x:f>IF(AND(E10&gt;20000,E11="PASS"),"GO",IF(E10&gt;0,"MAYBE - TITLE/AUTHORITY","NO"))</x:f>
        <x:v>NO</x:v>
      </x:c>
      <x:c r="F13" t="str">
        <x:v>Auto-calculated. Verify assumptions before using.</x:v>
      </x:c>
      <x:c r="H13" s="46" t="str">
        <x:v>Probate closing timeline</x:v>
      </x:c>
      <x:c r="I13" t="str">
        <x:v>Not Started</x:v>
      </x:c>
      <x:c r="J13" t="str"/>
      <x:c r="K13" t="str"/>
    </x:row>
    <x:row r="14">
      <x:c r="A14" s="35" t="str">
        <x:v>Number of Heirs</x:v>
      </x:c>
      <x:c r="B14" s="48" t="n">
        <x:v>3</x:v>
      </x:c>
      <x:c r="C14" t="str"/>
      <x:c r="E14" s="53"/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Personal Representative Authority Yes=1</x:v>
      </x:c>
      <x:c r="B15" s="48" t="n">
        <x:v>1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All Required Consents Yes=1</x:v>
      </x:c>
      <x:c r="B16" s="48" t="n">
        <x:v>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Title Clear/Insurable Yes=1</x:v>
      </x:c>
      <x:c r="B17" s="48" t="n">
        <x:v>0</x:v>
      </x:c>
      <x:c r="C17" t="str"/>
      <x:c r="E17" s="53"/>
    </x:row>
    <x:row r="18">
      <x:c r="A18" s="35" t="str">
        <x:v>Days to Close Estimate</x:v>
      </x:c>
      <x:c r="B18" s="48" t="n">
        <x:v>60</x:v>
      </x:c>
      <x:c r="C18" t="str"/>
      <x:c r="E18" s="53"/>
    </x:row>
    <x:row r="19">
      <x:c r="A19" s="35" t="str">
        <x:v>Holding/Utilities Monthly</x:v>
      </x:c>
      <x:c r="B19" s="48" t="n">
        <x:v>500</x:v>
      </x:c>
      <x:c r="C19" t="str"/>
      <x:c r="E19" s="53"/>
    </x:row>
    <x:row r="20">
      <x:c r="A20" s="35" t="str">
        <x:v>Exit Price</x:v>
      </x:c>
      <x:c r="B20" s="48" t="n">
        <x:v>230000</x:v>
      </x:c>
      <x:c r="C20" t="str"/>
      <x:c r="E20" s="53"/>
    </x:row>
    <x:row r="21">
      <x:c r="A21" s="35" t="str">
        <x:v>Selling Costs %</x:v>
      </x:c>
      <x:c r="B21" s="48" t="n">
        <x:v>0.08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Creative Deal Stack Builder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Combine multiple strategies and compare blended outcomes.</x:v>
      </x:c>
    </x:row>
    <x:row r="3">
      <x:c r="A3" s="10" t="str">
        <x:v>Level: Advanced | Risk: High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Property Value</x:v>
      </x:c>
      <x:c r="B8" s="48" t="n">
        <x:v>300000</x:v>
      </x:c>
      <x:c r="C8" t="str"/>
      <x:c r="D8" s="41" t="str">
        <x:v>Total Debt/Obligation</x:v>
      </x:c>
      <x:c r="E8" s="52" t="n">
        <x:f>B9+B10+B12</x:f>
        <x:v>235000</x:v>
      </x:c>
      <x:c r="F8" t="str">
        <x:v>Auto-calculated. Verify assumptions before using.</x:v>
      </x:c>
      <x:c r="H8" s="46" t="str">
        <x:v>Each strategy component documented</x:v>
      </x:c>
      <x:c r="I8" t="str">
        <x:v>Not Started</x:v>
      </x:c>
      <x:c r="J8" t="str"/>
      <x:c r="K8" t="str"/>
    </x:row>
    <x:row r="9">
      <x:c r="A9" s="35" t="str">
        <x:v>Existing Loan Balance</x:v>
      </x:c>
      <x:c r="B9" s="48" t="n">
        <x:v>180000</x:v>
      </x:c>
      <x:c r="C9" t="str"/>
      <x:c r="D9" s="41" t="str">
        <x:v>Total Cash Needed</x:v>
      </x:c>
      <x:c r="E9" s="52" t="n">
        <x:f>B11+B12</x:f>
        <x:v>30000</x:v>
      </x:c>
      <x:c r="F9" t="str">
        <x:v>Auto-calculated. Verify assumptions before using.</x:v>
      </x:c>
      <x:c r="H9" s="46" t="str">
        <x:v>Payment waterfall</x:v>
      </x:c>
      <x:c r="I9" t="str">
        <x:v>Not Started</x:v>
      </x:c>
      <x:c r="J9" t="str"/>
      <x:c r="K9" t="str"/>
    </x:row>
    <x:row r="10">
      <x:c r="A10" s="35" t="str">
        <x:v>Seller Carry Amount</x:v>
      </x:c>
      <x:c r="B10" s="48" t="n">
        <x:v>30000</x:v>
      </x:c>
      <x:c r="C10" t="str"/>
      <x:c r="D10" s="41" t="str">
        <x:v>Monthly NOI</x:v>
      </x:c>
      <x:c r="E10" s="52" t="n">
        <x:f>B13-(B13*B18)-B17</x:f>
        <x:v>2244</x:v>
      </x:c>
      <x:c r="F10" t="str">
        <x:v>Auto-calculated. Verify assumptions before using.</x:v>
      </x:c>
      <x:c r="H10" s="46" t="str">
        <x:v>Conflicting clauses checked</x:v>
      </x:c>
      <x:c r="I10" t="str">
        <x:v>Not Started</x:v>
      </x:c>
      <x:c r="J10" t="str"/>
      <x:c r="K10" t="str"/>
    </x:row>
    <x:row r="11">
      <x:c r="A11" s="35" t="str">
        <x:v>Cash to Seller</x:v>
      </x:c>
      <x:c r="B11" s="48" t="n">
        <x:v>5000</x:v>
      </x:c>
      <x:c r="C11" t="str"/>
      <x:c r="D11" s="41" t="str">
        <x:v>Total Monthly Debt</x:v>
      </x:c>
      <x:c r="E11" s="52" t="n">
        <x:f>SUM(B14:B16)</x:f>
        <x:v>1900</x:v>
      </x:c>
      <x:c r="F11" t="str">
        <x:v>Auto-calculated. Verify assumptions before using.</x:v>
      </x:c>
      <x:c r="H11" s="46" t="str">
        <x:v>Servicing/escrow plan</x:v>
      </x:c>
      <x:c r="I11" t="str">
        <x:v>Not Started</x:v>
      </x:c>
      <x:c r="J11" t="str"/>
      <x:c r="K11" t="str"/>
    </x:row>
    <x:row r="12">
      <x:c r="A12" s="35" t="str">
        <x:v>Private Money Needed</x:v>
      </x:c>
      <x:c r="B12" s="48" t="n">
        <x:v>25000</x:v>
      </x:c>
      <x:c r="C12" t="str"/>
      <x:c r="D12" s="41" t="str">
        <x:v>Monthly Cash Flow</x:v>
      </x:c>
      <x:c r="E12" s="52" t="n">
        <x:f>E10-E11</x:f>
        <x:v>344</x:v>
      </x:c>
      <x:c r="F12" t="str">
        <x:v>Auto-calculated. Verify assumptions before using.</x:v>
      </x:c>
      <x:c r="H12" s="46" t="str">
        <x:v>Attorney review</x:v>
      </x:c>
      <x:c r="I12" t="str">
        <x:v>Not Started</x:v>
      </x:c>
      <x:c r="J12" t="str"/>
      <x:c r="K12" t="str"/>
    </x:row>
    <x:row r="13">
      <x:c r="A13" s="35" t="str">
        <x:v>Monthly Rent</x:v>
      </x:c>
      <x:c r="B13" s="48" t="n">
        <x:v>3200</x:v>
      </x:c>
      <x:c r="C13" t="str"/>
      <x:c r="D13" s="41" t="str">
        <x:v>LTV Including Debt</x:v>
      </x:c>
      <x:c r="E13" s="52" t="n">
        <x:f>IFERROR(E8/B8,0)</x:f>
        <x:v>0.7833333333333333</x:v>
      </x:c>
      <x:c r="F13" t="str">
        <x:v>Auto-calculated. Verify assumptions before using.</x:v>
      </x:c>
      <x:c r="H13" s="46" t="str">
        <x:v>Backup single-strategy exit</x:v>
      </x:c>
      <x:c r="I13" t="str">
        <x:v>Not Started</x:v>
      </x:c>
      <x:c r="J13" t="str"/>
      <x:c r="K13" t="str"/>
    </x:row>
    <x:row r="14">
      <x:c r="A14" s="35" t="str">
        <x:v>Existing PITI</x:v>
      </x:c>
      <x:c r="B14" s="48" t="n">
        <x:v>1350</x:v>
      </x:c>
      <x:c r="C14" t="str"/>
      <x:c r="D14" s="41" t="str">
        <x:v>Decision</x:v>
      </x:c>
      <x:c r="E14" s="52" t="str">
        <x:f>IF(AND(E12&gt;250,E13&lt;0.85,B20&lt;=7),"GO",IF(E12&gt;0,"MAYBE - SIMPLIFY STACK","NO"))</x:f>
        <x:v>MAYBE - SIMPLIFY STACK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Seller Carry Payment</x:v>
      </x:c>
      <x:c r="B15" s="48" t="n">
        <x:v>250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Private Money Payment</x:v>
      </x:c>
      <x:c r="B16" s="48" t="n">
        <x:v>300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Monthly Expenses</x:v>
      </x:c>
      <x:c r="B17" s="48" t="n">
        <x:v>700</x:v>
      </x:c>
      <x:c r="C17" t="str"/>
      <x:c r="E17" s="53"/>
    </x:row>
    <x:row r="18">
      <x:c r="A18" s="35" t="str">
        <x:v>Vacancy %</x:v>
      </x:c>
      <x:c r="B18" s="48" t="n">
        <x:v>0.08</x:v>
      </x:c>
      <x:c r="C18" t="str"/>
      <x:c r="E18" s="53"/>
    </x:row>
    <x:row r="19">
      <x:c r="A19" s="35" t="str">
        <x:v>Reserves Months</x:v>
      </x:c>
      <x:c r="B19" s="48" t="n">
        <x:v>6</x:v>
      </x:c>
      <x:c r="C19" t="str"/>
      <x:c r="E19" s="53"/>
    </x:row>
    <x:row r="20">
      <x:c r="A20" s="35" t="str">
        <x:v>Legal Complexity 1-10</x:v>
      </x:c>
      <x:c r="B20" s="48" t="n">
        <x:v>8</x:v>
      </x:c>
      <x:c r="C20" t="str"/>
      <x:c r="E20" s="53"/>
    </x:row>
    <x:row r="21">
      <x:c r="A21" s="35" t="str">
        <x:v>Exit Timeline Months</x:v>
      </x:c>
      <x:c r="B21" s="48" t="n">
        <x:v>36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34" hidden="0" customWidth="1"/>
    <x:col min="4" max="4" width="26" hidden="0" customWidth="1"/>
    <x:col min="5" max="5" width="18" hidden="0" customWidth="1"/>
    <x:col min="6" max="6" width="22" hidden="0" customWidth="1"/>
    <x:col min="8" max="8" width="34" hidden="0" customWidth="1"/>
    <x:col min="9" max="9" width="14" hidden="0" customWidth="1"/>
    <x:col min="10" max="10" width="30" hidden="0" customWidth="1"/>
    <x:col min="11" max="11" width="34" hidden="0" customWidth="1"/>
  </x:cols>
  <x:sheetData>
    <x:row r="1">
      <x:c r="A1" s="20" t="str">
        <x:v>Exit Strategy Matrix Tool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</x:row>
    <x:row r="2">
      <x:c r="A2" s="30" t="str">
        <x:v>Compare possible exits: wholesale, flip, rental, BRRRR, seller finance resale, lease option, wholetail.</x:v>
      </x:c>
    </x:row>
    <x:row r="3">
      <x:c r="A3" s="10" t="str">
        <x:v>Level: Starter | Risk: Medium | Education only — not legal, tax, lending, securities, or financial advice. Verify all numbers and use licensed professionals before offers/funding/contracts.</x:v>
      </x:c>
    </x:row>
    <x:row r="6">
      <x:c r="A6" s="16" t="str">
        <x:v>Student Inputs</x:v>
      </x:c>
      <x:c r="B6" s="16" t="str">
        <x:v>Value</x:v>
      </x:c>
      <x:c r="C6" s="16" t="str">
        <x:v>Source / Notes</x:v>
      </x:c>
      <x:c r="D6" s="16" t="str">
        <x:v>Calculated Outputs</x:v>
      </x:c>
      <x:c r="E6" s="16" t="str">
        <x:v>Result</x:v>
      </x:c>
      <x:c r="F6" s="16" t="str">
        <x:v>Meaning / Rule</x:v>
      </x:c>
      <x:c r="H6" s="16" t="str">
        <x:v>Checklist / Evidence Needed</x:v>
      </x:c>
      <x:c r="I6" s="16" t="str">
        <x:v>Status</x:v>
      </x:c>
      <x:c r="J6" s="16" t="str">
        <x:v>Evidence Link</x:v>
      </x:c>
      <x:c r="K6" s="16" t="str">
        <x:v>Why It Matters</x:v>
      </x:c>
    </x:row>
    <x:row r="8">
      <x:c r="A8" s="35" t="str">
        <x:v>ARV / Resale Price</x:v>
      </x:c>
      <x:c r="B8" s="48" t="n">
        <x:v>260000</x:v>
      </x:c>
      <x:c r="C8" t="str"/>
      <x:c r="D8" s="41" t="str">
        <x:v>Wholesale Profit</x:v>
      </x:c>
      <x:c r="E8" s="52" t="n">
        <x:f>B15-B10</x:f>
        <x:v>20000</x:v>
      </x:c>
      <x:c r="F8" t="str">
        <x:v>Auto-calculated. Verify assumptions before using.</x:v>
      </x:c>
      <x:c r="H8" s="46" t="str">
        <x:v>At least 3 exits tested</x:v>
      </x:c>
      <x:c r="I8" t="str">
        <x:v>Not Started</x:v>
      </x:c>
      <x:c r="J8" t="str"/>
      <x:c r="K8" t="str"/>
    </x:row>
    <x:row r="9">
      <x:c r="A9" s="35" t="str">
        <x:v>As-Is Value</x:v>
      </x:c>
      <x:c r="B9" s="48" t="n">
        <x:v>180000</x:v>
      </x:c>
      <x:c r="C9" t="str"/>
      <x:c r="D9" s="41" t="str">
        <x:v>Flip Profit</x:v>
      </x:c>
      <x:c r="E9" s="52" t="n">
        <x:f>B8-B10-B11-(B8*B16)-(B17*B18)</x:f>
        <x:v>54400</x:v>
      </x:c>
      <x:c r="F9" t="str">
        <x:v>Auto-calculated. Verify assumptions before using.</x:v>
      </x:c>
      <x:c r="H9" s="46" t="str">
        <x:v>Worst-case exit chosen</x:v>
      </x:c>
      <x:c r="I9" t="str">
        <x:v>Not Started</x:v>
      </x:c>
      <x:c r="J9" t="str"/>
      <x:c r="K9" t="str"/>
    </x:row>
    <x:row r="10">
      <x:c r="A10" s="35" t="str">
        <x:v>Purchase Price</x:v>
      </x:c>
      <x:c r="B10" s="48" t="n">
        <x:v>150000</x:v>
      </x:c>
      <x:c r="C10" t="str"/>
      <x:c r="D10" s="41" t="str">
        <x:v>Rental Monthly Cash Flow</x:v>
      </x:c>
      <x:c r="E10" s="52" t="n">
        <x:f>B12-B13-B14</x:f>
        <x:v>350</x:v>
      </x:c>
      <x:c r="F10" t="str">
        <x:v>Auto-calculated. Verify assumptions before using.</x:v>
      </x:c>
      <x:c r="H10" s="46" t="str">
        <x:v>Liquidity needs considered</x:v>
      </x:c>
      <x:c r="I10" t="str">
        <x:v>Not Started</x:v>
      </x:c>
      <x:c r="J10" t="str"/>
      <x:c r="K10" t="str"/>
    </x:row>
    <x:row r="11">
      <x:c r="A11" s="35" t="str">
        <x:v>Repairs</x:v>
      </x:c>
      <x:c r="B11" s="48" t="n">
        <x:v>30000</x:v>
      </x:c>
      <x:c r="C11" t="str"/>
      <x:c r="D11" s="41" t="str">
        <x:v>Lease Option Profit Yr1</x:v>
      </x:c>
      <x:c r="E11" s="52" t="n">
        <x:f>B19+(B12-B13-B14)*12</x:f>
        <x:v>12200</x:v>
      </x:c>
      <x:c r="F11" t="str">
        <x:v>Auto-calculated. Verify assumptions before using.</x:v>
      </x:c>
      <x:c r="H11" s="46" t="str">
        <x:v>Timeline risk considered</x:v>
      </x:c>
      <x:c r="I11" t="str">
        <x:v>Not Started</x:v>
      </x:c>
      <x:c r="J11" t="str"/>
      <x:c r="K11" t="str"/>
    </x:row>
    <x:row r="12">
      <x:c r="A12" s="35" t="str">
        <x:v>Rent Monthly</x:v>
      </x:c>
      <x:c r="B12" s="48" t="n">
        <x:v>2400</x:v>
      </x:c>
      <x:c r="C12" t="str"/>
      <x:c r="D12" s="41" t="str">
        <x:v>Seller Finance Gross Spread</x:v>
      </x:c>
      <x:c r="E12" s="52" t="n">
        <x:f>B20-B10</x:f>
        <x:v>140000</x:v>
      </x:c>
      <x:c r="F12" t="str">
        <x:v>Auto-calculated. Verify assumptions before using.</x:v>
      </x:c>
      <x:c r="H12" s="46" t="str">
        <x:v>Buyer/renter demand validated</x:v>
      </x:c>
      <x:c r="I12" t="str">
        <x:v>Not Started</x:v>
      </x:c>
      <x:c r="J12" t="str"/>
      <x:c r="K12" t="str"/>
    </x:row>
    <x:row r="13">
      <x:c r="A13" s="35" t="str">
        <x:v>PITI Monthly</x:v>
      </x:c>
      <x:c r="B13" s="48" t="n">
        <x:v>1600</x:v>
      </x:c>
      <x:c r="C13" t="str"/>
      <x:c r="D13" s="41" t="str">
        <x:v>Best Exit</x:v>
      </x:c>
      <x:c r="E13" s="52" t="str">
        <x:f>CHOOSE(MATCH(MAX(E8:E12),E8:E12,0),"Wholesale","Flip","Rental","Lease Option","Seller Finance")</x:f>
        <x:v>Seller Finance</x:v>
      </x:c>
      <x:c r="F13" t="str">
        <x:v>Auto-calculated. Verify assumptions before using.</x:v>
      </x:c>
      <x:c r="H13" s="46" t="str">
        <x:v>Student mentor review</x:v>
      </x:c>
      <x:c r="I13" t="str">
        <x:v>Not Started</x:v>
      </x:c>
      <x:c r="J13" t="str"/>
      <x:c r="K13" t="str"/>
    </x:row>
    <x:row r="14">
      <x:c r="A14" s="35" t="str">
        <x:v>Monthly Expenses</x:v>
      </x:c>
      <x:c r="B14" s="48" t="n">
        <x:v>450</x:v>
      </x:c>
      <x:c r="C14" t="str"/>
      <x:c r="D14" s="41" t="str">
        <x:v>Decision</x:v>
      </x:c>
      <x:c r="E14" s="52" t="str">
        <x:f>IF(MAX(E8:E12)&gt;15000,"GO - USE BEST EXIT",IF(MAX(E8:E12)&gt;0,"MAYBE","NO"))</x:f>
        <x:v>GO - USE BEST EXIT</x:v>
      </x:c>
      <x:c r="F14" t="str">
        <x:v>Auto-calculated. Verify assumptions before using.</x:v>
      </x:c>
      <x:c r="H14" s="46" t="str">
        <x:v>Upload photos/docs</x:v>
      </x:c>
      <x:c r="I14" t="str">
        <x:v>Not Started</x:v>
      </x:c>
      <x:c r="J14" t="str"/>
      <x:c r="K14" t="str"/>
    </x:row>
    <x:row r="15">
      <x:c r="A15" s="35" t="str">
        <x:v>Wholesale Buyer Price</x:v>
      </x:c>
      <x:c r="B15" s="48" t="n">
        <x:v>170000</x:v>
      </x:c>
      <x:c r="C15" t="str"/>
      <x:c r="E15" s="53"/>
      <x:c r="H15" s="46" t="str">
        <x:v>Student notes complete</x:v>
      </x:c>
      <x:c r="I15" t="str">
        <x:v>Not Started</x:v>
      </x:c>
      <x:c r="J15" t="str"/>
      <x:c r="K15" t="str"/>
    </x:row>
    <x:row r="16">
      <x:c r="A16" s="35" t="str">
        <x:v>Selling Costs %</x:v>
      </x:c>
      <x:c r="B16" s="48" t="n">
        <x:v>0.08</x:v>
      </x:c>
      <x:c r="C16" t="str"/>
      <x:c r="E16" s="53"/>
      <x:c r="H16" s="46" t="str">
        <x:v>Mentor/admin review requested</x:v>
      </x:c>
      <x:c r="I16" t="str">
        <x:v>Not Started</x:v>
      </x:c>
      <x:c r="J16" t="str"/>
      <x:c r="K16" t="str"/>
    </x:row>
    <x:row r="17">
      <x:c r="A17" s="35" t="str">
        <x:v>Holding Months</x:v>
      </x:c>
      <x:c r="B17" s="48" t="n">
        <x:v>4</x:v>
      </x:c>
      <x:c r="C17" t="str"/>
      <x:c r="E17" s="53"/>
    </x:row>
    <x:row r="18">
      <x:c r="A18" s="35" t="str">
        <x:v>Monthly Holding Cost</x:v>
      </x:c>
      <x:c r="B18" s="48" t="n">
        <x:v>1200</x:v>
      </x:c>
      <x:c r="C18" t="str"/>
      <x:c r="E18" s="53"/>
    </x:row>
    <x:row r="19">
      <x:c r="A19" s="35" t="str">
        <x:v>Lease Option Upfront Fee</x:v>
      </x:c>
      <x:c r="B19" s="48" t="n">
        <x:v>8000</x:v>
      </x:c>
      <x:c r="C19" t="str"/>
      <x:c r="E19" s="53"/>
    </x:row>
    <x:row r="20">
      <x:c r="A20" s="35" t="str">
        <x:v>Seller Finance Resale Price</x:v>
      </x:c>
      <x:c r="B20" s="48" t="n">
        <x:v>290000</x:v>
      </x:c>
      <x:c r="C20" t="str"/>
      <x:c r="E20" s="53"/>
    </x:row>
    <x:row r="21">
      <x:c r="A21" s="35" t="str">
        <x:v>Risk Tolerance 1-10</x:v>
      </x:c>
      <x:c r="B21" s="48" t="n">
        <x:v>5</x:v>
      </x:c>
      <x:c r="C21" t="str"/>
      <x:c r="E21" s="53"/>
    </x:row>
    <x:row r="22">
      <x:c r="B22" s="49"/>
      <x:c r="E22" s="53"/>
    </x:row>
    <x:row r="23">
      <x:c r="B23" s="49"/>
      <x:c r="E23" s="53"/>
    </x:row>
    <x:row r="24">
      <x:c r="B24" s="49"/>
      <x:c r="E24" s="53"/>
    </x:row>
    <x:row r="25">
      <x:c r="B25" s="49"/>
      <x:c r="E25" s="53"/>
    </x:row>
    <x:row r="26">
      <x:c r="B26" s="49"/>
      <x:c r="E26" s="53"/>
    </x:row>
    <x:row r="27">
      <x:c r="B27" s="49"/>
      <x:c r="E27" s="53"/>
    </x:row>
    <x:row r="28">
      <x:c r="B28" s="49"/>
      <x:c r="E28" s="53"/>
    </x:row>
    <x:row r="29">
      <x:c r="B29" s="49"/>
      <x:c r="E29" s="53"/>
    </x:row>
    <x:row r="30">
      <x:c r="B30" s="49"/>
      <x:c r="E30" s="53"/>
    </x:row>
    <x:row r="31">
      <x:c r="B31" s="49"/>
      <x:c r="E31" s="53"/>
    </x:row>
    <x:row r="32">
      <x:c r="B32" s="49"/>
      <x:c r="E32" s="53"/>
    </x:row>
    <x:row r="33">
      <x:c r="B33" s="49"/>
      <x:c r="E33" s="53"/>
    </x:row>
    <x:row r="34">
      <x:c r="A34" s="56" t="str">
        <x:v>Deal Story / Coversheet Questions</x:v>
      </x:c>
      <x:c r="B34" s="49"/>
      <x:c r="E34" s="53"/>
    </x:row>
    <x:row r="35">
      <x:c r="A35" s="58" t="str">
        <x:v>Why do you like this deal?</x:v>
      </x:c>
      <x:c r="B35" s="60" t="str"/>
      <x:c r="E35" s="53"/>
    </x:row>
    <x:row r="36">
      <x:c r="A36" s="58" t="str">
        <x:v>What problem does the seller need solved?</x:v>
      </x:c>
      <x:c r="B36" s="60" t="str"/>
      <x:c r="E36" s="53"/>
    </x:row>
    <x:row r="37">
      <x:c r="A37" s="58" t="str">
        <x:v>Why does this strategy fit better than a cash offer?</x:v>
      </x:c>
      <x:c r="B37" s="60" t="str"/>
      <x:c r="E37" s="53"/>
    </x:row>
    <x:row r="38">
      <x:c r="A38" s="58" t="str">
        <x:v>What is the exact offer and backup offer?</x:v>
      </x:c>
      <x:c r="B38" s="60" t="str"/>
      <x:c r="E38" s="53"/>
    </x:row>
    <x:row r="39">
      <x:c r="A39" s="58" t="str">
        <x:v>What documents prove your assumptions?</x:v>
      </x:c>
      <x:c r="B39" s="60" t="str"/>
      <x:c r="E39" s="53"/>
    </x:row>
    <x:row r="40">
      <x:c r="A40" s="58" t="str">
        <x:v>What is the main risk that could kill the deal?</x:v>
      </x:c>
      <x:c r="B40" s="60" t="str"/>
      <x:c r="E40" s="53"/>
    </x:row>
    <x:row r="41">
      <x:c r="A41" s="58" t="str">
        <x:v>Who must review before you sign/fund?</x:v>
      </x:c>
      <x:c r="B41" s="61" t="str"/>
    </x:row>
    <x:row r="42">
      <x:c r="A42" s="58" t="str">
        <x:v>What is the best exit and backup exit?</x:v>
      </x:c>
      <x:c r="B42" s="61" t="str"/>
    </x:row>
  </x:sheetData>
  <x:mergeCells>
    <x:mergeCell ref="A1:K1"/>
    <x:mergeCell ref="A2:K2"/>
    <x:mergeCell ref="A3:K3"/>
    <x:mergeCell ref="A34:K34"/>
  </x:mergeCells>
  <x:dataValidations count="1">
    <x:dataValidation type="list" sqref="I8:I16">
      <x:formula1>"Not Started,In Progress,Done,N/A,Blocked"</x:formula1>
    </x:dataValidation>
  </x:dataValidation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8" hidden="0" customWidth="1"/>
    <x:col min="3" max="3" width="70" hidden="0" customWidth="1"/>
    <x:col min="4" max="4" width="45" hidden="0" customWidth="1"/>
  </x:cols>
  <x:sheetData>
    <x:row r="1">
      <x:c r="A1" s="20" t="str">
        <x:v>Sources, Compliance Flags, and Student Disclaimers</x:v>
      </x:c>
      <x:c r="B1" s="21"/>
      <x:c r="C1" s="21"/>
      <x:c r="D1" s="21"/>
    </x:row>
    <x:row r="3">
      <x:c r="A3" s="15" t="str">
        <x:v>Source</x:v>
      </x:c>
      <x:c r="B3" s="15" t="str">
        <x:v>Use in Tools</x:v>
      </x:c>
      <x:c r="C3" s="15" t="str">
        <x:v>URL</x:v>
      </x:c>
      <x:c r="D3" s="15" t="str">
        <x:v>Notes</x:v>
      </x:c>
    </x:row>
    <x:row r="4">
      <x:c r="A4" t="str">
        <x:v>CFPB Regulation Z §1026.36</x:v>
      </x:c>
      <x:c r="B4" t="str">
        <x:v>Seller financing / loan originator / ability-to-repay considerations</x:v>
      </x:c>
      <x:c r="C4" t="str">
        <x:v>https://www.consumerfinance.gov/rules-policy/regulations/1026/36</x:v>
      </x:c>
      <x:c r="D4" t="str">
        <x:v>Use as public reference. Students still need local licensed professionals.</x:v>
      </x:c>
    </x:row>
    <x:row r="5">
      <x:c r="A5" t="str">
        <x:v>Cornell LII 12 USC §1701j-3</x:v>
      </x:c>
      <x:c r="B5" t="str">
        <x:v>Due-on-sale clauses and Garn-St Germain framework</x:v>
      </x:c>
      <x:c r="C5" t="str">
        <x:v>https://www.law.cornell.edu/uscode/text/12/1701j-3</x:v>
      </x:c>
      <x:c r="D5" t="str">
        <x:v>Use as public reference. Students still need local licensed professionals.</x:v>
      </x:c>
    </x:row>
    <x:row r="6">
      <x:c r="A6" t="str">
        <x:v>NAR Seller Financing</x:v>
      </x:c>
      <x:c r="B6" t="str">
        <x:v>Seller financing risks, buyer protections, abuses to avoid</x:v>
      </x:c>
      <x:c r="C6" t="str">
        <x:v>https://www.nar.realtor/seller-financing</x:v>
      </x:c>
      <x:c r="D6" t="str">
        <x:v>Use as public reference. Students still need local licensed professionals.</x:v>
      </x:c>
    </x:row>
    <x:row r="7">
      <x:c r="A7" t="str">
        <x:v>Investopedia Seller Financing</x:v>
      </x:c>
      <x:c r="B7" t="str">
        <x:v>Seller financing arrangements: land contract, wrap, lease-purchase, junior mortgage</x:v>
      </x:c>
      <x:c r="C7" t="str">
        <x:v>https://www.investopedia.com/articles/mortgages-real-estate/10/should-you-use-seller-financing.asp</x:v>
      </x:c>
      <x:c r="D7" t="str">
        <x:v>Use as public reference. Students still need local licensed professionals.</x:v>
      </x:c>
    </x:row>
    <x:row r="8">
      <x:c r="A8" t="str">
        <x:v>Investopedia Wraparound Mortgage</x:v>
      </x:c>
      <x:c r="B8" t="str">
        <x:v>Wraparound mortgage mechanics and risks</x:v>
      </x:c>
      <x:c r="C8" t="str">
        <x:v>https://www.investopedia.com/terms/w/wraparound-mortgage.asp</x:v>
      </x:c>
      <x:c r="D8" t="str">
        <x:v>Use as public reference. Students still need local licensed professionals.</x:v>
      </x:c>
    </x:row>
    <x:row r="9">
      <x:c r="A9" t="str">
        <x:v>DealCheck</x:v>
      </x:c>
      <x:c r="B9" t="str">
        <x:v>Common investor metrics: cash flow, cap rate, ROI, profit projections</x:v>
      </x:c>
      <x:c r="C9" t="str">
        <x:v>https://dealcheck.io/</x:v>
      </x:c>
      <x:c r="D9" t="str">
        <x:v>Use as public reference. Students still need local licensed professionals.</x:v>
      </x:c>
    </x:row>
    <x:row r="10">
      <x:c r="A10" t="str">
        <x:v>DealForge Analyzer</x:v>
      </x:c>
      <x:c r="B10" t="str">
        <x:v>NOI, cap rate, cash-on-cash, DSCR and max offer metrics</x:v>
      </x:c>
      <x:c r="C10" t="str">
        <x:v>https://dealforgehq.com/real-estate-deal-analyzer</x:v>
      </x:c>
      <x:c r="D10" t="str">
        <x:v>Use as public reference. Students still need local licensed professionals.</x:v>
      </x:c>
    </x:row>
    <x:row r="11">
      <x:c r="A11" t="str">
        <x:v>SEC Promissory Note Fraud</x:v>
      </x:c>
      <x:c r="B11" t="str">
        <x:v>Promissory note investor-risk warning</x:v>
      </x:c>
      <x:c r="C11" t="str">
        <x:v>https://www.sec.gov/investor/pubs/promise.htm</x:v>
      </x:c>
      <x:c r="D11" t="str">
        <x:v>Use as public reference. Students still need local licensed professionals.</x:v>
      </x:c>
    </x:row>
    <x:row r="12">
      <x:c r="A12" t="str">
        <x:v>Georgia Title Wholesaling / Creative Deals</x:v>
      </x:c>
      <x:c r="B12" t="str">
        <x:v>Wholesaling, double closing, assignments, creative financing overview</x:v>
      </x:c>
      <x:c r="C12" t="str">
        <x:v>https://georgiatitle.com/help/Real-Estate-Help/Wholesaling-Double-Closing-Assignments/index.html</x:v>
      </x:c>
      <x:c r="D12" t="str">
        <x:v>Use as public reference. Students still need local licensed professionals.</x:v>
      </x:c>
    </x:row>
    <x:row r="13">
      <x:c r="A13" t="str">
        <x:v>HUD Loans Cash-on-Cash</x:v>
      </x:c>
      <x:c r="B13" t="str">
        <x:v>Cash-on-cash return formula concept</x:v>
      </x:c>
      <x:c r="C13" t="str">
        <x:v>https://www.hud.loans/cash-on-cash-return-calculator/</x:v>
      </x:c>
      <x:c r="D13" t="str">
        <x:v>Use as public reference. Students still need local licensed professionals.</x:v>
      </x:c>
    </x:row>
  </x:sheetData>
  <x:mergeCells>
    <x:mergeCell ref="A1:D1"/>
  </x:mergeCell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34" hidden="0" customWidth="1"/>
    <x:col min="4" max="4" width="30" hidden="0" customWidth="1"/>
    <x:col min="5" max="5" width="38" hidden="0" customWidth="1"/>
    <x:col min="6" max="6" width="36" hidden="0" customWidth="1"/>
    <x:col min="7" max="7" width="28" hidden="0" customWidth="1"/>
    <x:col min="8" max="8" width="30" hidden="0" customWidth="1"/>
    <x:col min="9" max="9" width="16" hidden="0" customWidth="1"/>
  </x:cols>
  <x:sheetData>
    <x:row r="1">
      <x:c r="A1" s="20" t="str">
        <x:v>Strategy Selector — Pick the Right Tool Before You Analyze</x:v>
      </x:c>
      <x:c r="B1" s="21"/>
      <x:c r="C1" s="21"/>
      <x:c r="D1" s="21"/>
      <x:c r="E1" s="21"/>
      <x:c r="F1" s="21"/>
      <x:c r="G1" s="21"/>
      <x:c r="H1" s="21"/>
      <x:c r="I1" s="21"/>
    </x:row>
    <x:row r="3">
      <x:c r="A3" s="15" t="str">
        <x:v>Question</x:v>
      </x:c>
      <x:c r="B3" s="15" t="str">
        <x:v>Input</x:v>
      </x:c>
      <x:c r="C3" s="15" t="str">
        <x:v>If Yes, Consider</x:v>
      </x:c>
      <x:c r="D3" s="15" t="str">
        <x:v>If No, Consider</x:v>
      </x:c>
      <x:c r="E3" s="15" t="str">
        <x:v>Required Proof</x:v>
      </x:c>
      <x:c r="F3" s="15" t="str">
        <x:v>Risk Trigger</x:v>
      </x:c>
      <x:c r="G3" s="15" t="str">
        <x:v>Recommended Tool</x:v>
      </x:c>
      <x:c r="H3" s="15" t="str">
        <x:v>Student Notes</x:v>
      </x:c>
      <x:c r="I3" s="15" t="str">
        <x:v>Status</x:v>
      </x:c>
    </x:row>
    <x:row r="4">
      <x:c r="A4" t="str">
        <x:v>Is there an existing attractive mortgage?</x:v>
      </x:c>
      <x:c r="B4" t="str">
        <x:v>Yes/No</x:v>
      </x:c>
      <x:c r="C4" t="str">
        <x:v>Subject-To, Wrap, Hybrid Terms, Assumable Mortgage</x:v>
      </x:c>
      <x:c r="D4" t="str">
        <x:v>Seller Finance, Cash/Flip, Rental</x:v>
      </x:c>
      <x:c r="E4" t="str">
        <x:v>Mortgage statement, payoff, PITI</x:v>
      </x:c>
      <x:c r="F4" t="str">
        <x:v>Due-on-sale, insurance, seller liability</x:v>
      </x:c>
      <x:c r="G4" t="str">
        <x:v>Subject-To</x:v>
      </x:c>
      <x:c r="H4" t="str"/>
      <x:c r="I4" t="str">
        <x:v>Not Started</x:v>
      </x:c>
    </x:row>
    <x:row r="5">
      <x:c r="A5" t="str">
        <x:v>Will seller accept payments over time?</x:v>
      </x:c>
      <x:c r="B5" t="str">
        <x:v>Yes/No</x:v>
      </x:c>
      <x:c r="C5" t="str">
        <x:v>Seller Finance, Land Contract, Owner Carry Second</x:v>
      </x:c>
      <x:c r="D5" t="str">
        <x:v>Wholesale, Flip, Rental</x:v>
      </x:c>
      <x:c r="E5" t="str">
        <x:v>Seller motivation, note terms</x:v>
      </x:c>
      <x:c r="F5" t="str">
        <x:v>ATR/loan originator if consumer dwelling</x:v>
      </x:c>
      <x:c r="G5" t="str">
        <x:v>Seller Finance</x:v>
      </x:c>
      <x:c r="H5" t="str"/>
      <x:c r="I5" t="str">
        <x:v>Not Started</x:v>
      </x:c>
    </x:row>
    <x:row r="6">
      <x:c r="A6" t="str">
        <x:v>Is there big equity and repairs?</x:v>
      </x:c>
      <x:c r="B6" t="str">
        <x:v>Yes/No</x:v>
      </x:c>
      <x:c r="C6" t="str">
        <x:v>Wholesale, Flip, Wholetail, BRRRR</x:v>
      </x:c>
      <x:c r="D6" t="str">
        <x:v>Terms deal or pass</x:v>
      </x:c>
      <x:c r="E6" t="str">
        <x:v>Comps, repair bid</x:v>
      </x:c>
      <x:c r="F6" t="str">
        <x:v>Bad ARV or repair miss</x:v>
      </x:c>
      <x:c r="G6" t="str">
        <x:v>Fix and Flip</x:v>
      </x:c>
      <x:c r="H6" t="str"/>
      <x:c r="I6" t="str">
        <x:v>Not Started</x:v>
      </x:c>
    </x:row>
    <x:row r="7">
      <x:c r="A7" t="str">
        <x:v>Is cash flow strong enough for debt?</x:v>
      </x:c>
      <x:c r="B7" t="str">
        <x:v>Yes/No</x:v>
      </x:c>
      <x:c r="C7" t="str">
        <x:v>Rental, DSCR, BRRRR, STR/MTR, CoLiving</x:v>
      </x:c>
      <x:c r="D7" t="str">
        <x:v>Negotiate price/terms</x:v>
      </x:c>
      <x:c r="E7" t="str">
        <x:v>Rent comps, expenses</x:v>
      </x:c>
      <x:c r="F7" t="str">
        <x:v>Vacancy/management underestimate</x:v>
      </x:c>
      <x:c r="G7" t="str">
        <x:v>Long Term Rental</x:v>
      </x:c>
      <x:c r="H7" t="str"/>
      <x:c r="I7" t="str">
        <x:v>Not Started</x:v>
      </x:c>
    </x:row>
    <x:row r="8">
      <x:c r="A8" t="str">
        <x:v>Is deal short-term funding only?</x:v>
      </x:c>
      <x:c r="B8" t="str">
        <x:v>Yes/No</x:v>
      </x:c>
      <x:c r="C8" t="str">
        <x:v>Gator EMD, Transactional Funding, Gap Funding</x:v>
      </x:c>
      <x:c r="D8" t="str">
        <x:v>Regular acquisition tool</x:v>
      </x:c>
      <x:c r="E8" t="str">
        <x:v>Escrow, contracts, POF</x:v>
      </x:c>
      <x:c r="F8" t="str">
        <x:v>Unsecured/private lending risk</x:v>
      </x:c>
      <x:c r="G8" t="str">
        <x:v>Gator EMD</x:v>
      </x:c>
      <x:c r="H8" t="str"/>
      <x:c r="I8" t="str">
        <x:v>Not Started</x:v>
      </x:c>
    </x:row>
    <x:row r="9">
      <x:c r="A9" t="str">
        <x:v>Is it multifamily/commercial?</x:v>
      </x:c>
      <x:c r="B9" t="str">
        <x:v>Yes/No</x:v>
      </x:c>
      <x:c r="C9" t="str">
        <x:v>T-12, Pro Forma, Master Lease, Commercial Lease</x:v>
      </x:c>
      <x:c r="D9" t="str">
        <x:v>Single-family tools</x:v>
      </x:c>
      <x:c r="E9" t="str">
        <x:v>T-12, rent roll, leases</x:v>
      </x:c>
      <x:c r="F9" t="str">
        <x:v>NOI normalization, cap rate risk</x:v>
      </x:c>
      <x:c r="G9" t="str">
        <x:v>Multifamily T12</x:v>
      </x:c>
      <x:c r="H9" t="str"/>
      <x:c r="I9" t="str">
        <x:v>Not Started</x:v>
      </x:c>
    </x:row>
    <x:row r="10">
      <x:c r="A10" t="str">
        <x:v>Is seller in foreclosure/distress?</x:v>
      </x:c>
      <x:c r="B10" t="str">
        <x:v>Yes/No</x:v>
      </x:c>
      <x:c r="C10" t="str">
        <x:v>PreForeclosure, Subject-To, Cash Offer</x:v>
      </x:c>
      <x:c r="D10" t="str">
        <x:v>Normal intake</x:v>
      </x:c>
      <x:c r="E10" t="str">
        <x:v>Foreclosure date, reinstatement</x:v>
      </x:c>
      <x:c r="F10" t="str">
        <x:v>Rescue scam / consumer protection</x:v>
      </x:c>
      <x:c r="G10" t="str">
        <x:v>PreForeclosure</x:v>
      </x:c>
      <x:c r="H10" t="str"/>
      <x:c r="I10" t="str">
        <x:v>Not Started</x:v>
      </x:c>
    </x:row>
    <x:row r="11">
      <x:c r="A11" t="str">
        <x:v>Does another party bring money?</x:v>
      </x:c>
      <x:c r="B11" t="str">
        <x:v>Yes/No</x:v>
      </x:c>
      <x:c r="C11" t="str">
        <x:v>Private Money, JV, Equity Share, Gap Funding</x:v>
      </x:c>
      <x:c r="D11" t="str">
        <x:v>Self-funded strategy</x:v>
      </x:c>
      <x:c r="E11" t="str">
        <x:v>Note, lien, operating agreement</x:v>
      </x:c>
      <x:c r="F11" t="str">
        <x:v>Securities/private lending risk</x:v>
      </x:c>
      <x:c r="G11" t="str">
        <x:v>Private Money JV</x:v>
      </x:c>
      <x:c r="H11" t="str"/>
      <x:c r="I11" t="str">
        <x:v>Not Started</x:v>
      </x:c>
    </x:row>
  </x:sheetData>
  <x:mergeCells>
    <x:mergeCell ref="A1:I1"/>
  </x:mergeCells>
  <x:dataValidations count="2">
    <x:dataValidation type="list" sqref="B4:B20">
      <x:formula1>"Yes,No,Unknown"</x:formula1>
    </x:dataValidation>
    <x:dataValidation type="list" sqref="I4:I20">
      <x:formula1>"Not Started,In Progress,Done,Blocked"</x:formula1>
    </x:dataValidation>
  </x:dataValidations>
  <x:pageMargins left="0.7" right="0.7" top="0.75" bottom="0.75" header="0.3" footer="0.3"/>
</x:worksheet>
</file>