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7387802353b463a" /></Relationships>
</file>

<file path=xl/workbook.xml><?xml version="1.0" encoding="utf-8"?>
<x:workbook xmlns:x="http://schemas.openxmlformats.org/spreadsheetml/2006/main">
  <x:sheets>
    <x:sheet xmlns:r="http://schemas.openxmlformats.org/officeDocument/2006/relationships" name="Cover" sheetId="1" r:id="R0c47c61015e841f3"/>
    <x:sheet xmlns:r="http://schemas.openxmlformats.org/officeDocument/2006/relationships" name="Assumptions" sheetId="2" r:id="R12f59d664f4c4b0f"/>
    <x:sheet xmlns:r="http://schemas.openxmlformats.org/officeDocument/2006/relationships" name="Club Economics" sheetId="3" r:id="R65bcf8ed573c4a0c"/>
    <x:sheet xmlns:r="http://schemas.openxmlformats.org/officeDocument/2006/relationships" name="OPEX Scale" sheetId="4" r:id="Rc855fa61205744f2"/>
    <x:sheet xmlns:r="http://schemas.openxmlformats.org/officeDocument/2006/relationships" name="Scenario 1 Organic" sheetId="5" r:id="Rae071c919204495f"/>
    <x:sheet xmlns:r="http://schemas.openxmlformats.org/officeDocument/2006/relationships" name="Scenario 2 Fund" sheetId="6" r:id="R230b4ff4889d49a6"/>
    <x:sheet xmlns:r="http://schemas.openxmlformats.org/officeDocument/2006/relationships" name="Summary" sheetId="7" r:id="R83853ab71070468d"/>
    <x:sheet xmlns:r="http://schemas.openxmlformats.org/officeDocument/2006/relationships" name="Checks" sheetId="8" r:id="R553693690b39470b"/>
    <x:sheet xmlns:r="http://schemas.openxmlformats.org/officeDocument/2006/relationships" name="Personnel &amp; OPEX" sheetId="9" r:id="Rb09d5c2a33554c84"/>
    <x:sheet xmlns:r="http://schemas.openxmlformats.org/officeDocument/2006/relationships" name="Professional P&amp;L" sheetId="10" r:id="R4e2c2b5d9c7f4630"/>
    <x:sheet xmlns:r="http://schemas.openxmlformats.org/officeDocument/2006/relationships" name="Working Capital" sheetId="11" r:id="Rc89a02c1282d4c99"/>
    <x:sheet xmlns:r="http://schemas.openxmlformats.org/officeDocument/2006/relationships" name="Cost Coverage" sheetId="12" r:id="Rad10dbc41f7e463b"/>
  </x:sheets>
</x:workbook>
</file>

<file path=xl/sharedStrings.xml><?xml version="1.0" encoding="utf-8"?>
<x:sst xmlns:x="http://schemas.openxmlformats.org/spreadsheetml/2006/main"/>
</file>

<file path=xl/styles.xml><?xml version="1.0" encoding="utf-8"?>
<x:styleSheet xmlns:x="http://schemas.openxmlformats.org/spreadsheetml/2006/main">
  <x:numFmts count="8">
    <x:numFmt numFmtId="200" formatCode="mmm-yy"/>
    <x:numFmt numFmtId="201" formatCode="0.0%;[Red](0.0%);-"/>
    <x:numFmt numFmtId="202" formatCode="€#,##0;[Red](€#,##0);-"/>
    <x:numFmt numFmtId="203" formatCode="€#,##0.00;[Red](€#,##0.00);-"/>
    <x:numFmt numFmtId="204" formatCode="#,##0;[Red](#,##0);-"/>
    <x:numFmt numFmtId="205" formatCode="0.0%"/>
    <x:numFmt numFmtId="206" formatCode="0"/>
    <x:numFmt numFmtId="207" formatCode="0.00x"/>
  </x:numFmts>
  <x:fonts count="50">
    <x:font>
      <x:sz val="11"/>
      <x:name val="Carlito"/>
    </x:font>
    <x:font>
      <x:b/>
      <x:sz val="26"/>
      <x:color rgb="FFFFFFFF"/>
      <x:name val="Carlito"/>
    </x:font>
    <x:font>
      <x:b/>
      <x:sz val="14"/>
      <x:color rgb="FF153E6F"/>
      <x:name val="Carlito"/>
    </x:font>
    <x:font>
      <x:sz val="12"/>
      <x:color rgb="FF1F2937"/>
      <x:name val="Carlito"/>
    </x:font>
    <x:font>
      <x:i/>
      <x:sz val="10"/>
      <x:color rgb="FF1F2937"/>
      <x:name val="Carlito"/>
    </x:font>
    <x:font>
      <x:b/>
      <x:sz val="10"/>
      <x:color rgb="FFFFFFFF"/>
      <x:name val="Carlito"/>
    </x:font>
    <x:font>
      <x:b/>
      <x:sz val="18"/>
      <x:color rgb="FFFFFFFF"/>
      <x:name val="Carlito"/>
    </x:font>
    <x:font>
      <x:i/>
      <x:sz val="10"/>
      <x:color rgb="FF25313C"/>
      <x:name val="Carlito"/>
    </x:font>
    <x:font>
      <x:b/>
      <x:sz val="11"/>
      <x:color rgb="FFFFFFFF"/>
      <x:name val="Carlito"/>
    </x:font>
    <x:font>
      <x:b/>
      <x:sz val="11"/>
      <x:color rgb="FF0000FF"/>
      <x:name val="Carlito"/>
    </x:font>
    <x:font>
      <x:sz val="11"/>
      <x:color rgb="FF0000FF"/>
      <x:name val="Carlito"/>
    </x:font>
    <x:font>
      <x:b/>
      <x:sz val="11"/>
      <x:color rgb="FF1F2937"/>
      <x:name val="Carlito"/>
    </x:font>
    <x:font>
      <x:sz val="11"/>
      <x:color rgb="FF1F2937"/>
      <x:name val="Carlito"/>
    </x:font>
    <x:font>
      <x:b/>
      <x:sz val="11"/>
      <x:color rgb="FF52606D"/>
      <x:name val="Carlito"/>
    </x:font>
    <x:font>
      <x:sz val="11"/>
      <x:color rgb="FF52606D"/>
      <x:name val="Carlito"/>
    </x:font>
    <x:font>
      <x:b/>
      <x:sz val="11"/>
      <x:color rgb="FF000000"/>
      <x:name val="Carlito"/>
    </x:font>
    <x:font>
      <x:b/>
      <x:sz val="11"/>
      <x:color rgb="FF153E6F"/>
      <x:name val="Carlito"/>
    </x:font>
    <x:font>
      <x:i/>
      <x:sz val="11"/>
      <x:color rgb="FF1F2937"/>
      <x:name val="Carlito"/>
    </x:font>
    <x:font>
      <x:b/>
      <x:sz val="11"/>
      <x:name val="Carlito"/>
    </x:font>
    <x:font>
      <x:b/>
      <x:sz val="26"/>
      <x:color rgb="FFFFFFFF"/>
      <x:name val="Aptos"/>
    </x:font>
    <x:font>
      <x:sz val="11"/>
      <x:name val="Aptos"/>
    </x:font>
    <x:font>
      <x:b/>
      <x:sz val="14"/>
      <x:color rgb="FF153E6F"/>
      <x:name val="Aptos"/>
    </x:font>
    <x:font>
      <x:sz val="12"/>
      <x:color rgb="FF1F2937"/>
      <x:name val="Aptos"/>
    </x:font>
    <x:font>
      <x:i/>
      <x:sz val="10"/>
      <x:color rgb="FF1F2937"/>
      <x:name val="Aptos"/>
    </x:font>
    <x:font>
      <x:b/>
      <x:sz val="10"/>
      <x:color rgb="FFFFFFFF"/>
      <x:name val="Aptos"/>
    </x:font>
    <x:font>
      <x:b/>
      <x:sz val="18"/>
      <x:color rgb="FFFFFFFF"/>
      <x:name val="Aptos"/>
    </x:font>
    <x:font>
      <x:i/>
      <x:sz val="10"/>
      <x:color rgb="FF25313C"/>
      <x:name val="Aptos"/>
    </x:font>
    <x:font>
      <x:b/>
      <x:sz val="11"/>
      <x:color rgb="FFFFFFFF"/>
      <x:name val="Aptos"/>
    </x:font>
    <x:font>
      <x:b/>
      <x:sz val="11"/>
      <x:color rgb="FF1F2937"/>
      <x:name val="Aptos"/>
    </x:font>
    <x:font>
      <x:b/>
      <x:sz val="11"/>
      <x:color rgb="FF0000FF"/>
      <x:name val="Aptos"/>
    </x:font>
    <x:font>
      <x:b/>
      <x:sz val="11"/>
      <x:color rgb="FF52606D"/>
      <x:name val="Aptos"/>
    </x:font>
    <x:font>
      <x:sz val="11"/>
      <x:color rgb="FF1F2937"/>
      <x:name val="Aptos"/>
    </x:font>
    <x:font>
      <x:sz val="11"/>
      <x:color rgb="FF0000FF"/>
      <x:name val="Aptos"/>
    </x:font>
    <x:font>
      <x:sz val="11"/>
      <x:color rgb="FF52606D"/>
      <x:name val="Aptos"/>
    </x:font>
    <x:font>
      <x:b/>
      <x:sz val="11"/>
      <x:color rgb="FF000000"/>
      <x:name val="Aptos"/>
    </x:font>
    <x:font>
      <x:i/>
      <x:sz val="11"/>
      <x:color rgb="FF1F2937"/>
      <x:name val="Aptos"/>
    </x:font>
    <x:font>
      <x:b/>
      <x:sz val="11"/>
      <x:color rgb="FF153E6F"/>
      <x:name val="Aptos"/>
    </x:font>
    <x:font>
      <x:b/>
      <x:sz val="11"/>
      <x:name val="Aptos"/>
    </x:font>
    <x:font>
      <x:b/>
      <x:sz val="15"/>
      <x:color rgb="FFFFFFFF"/>
      <x:name val="Carlito"/>
    </x:font>
    <x:font>
      <x:i/>
      <x:sz val="11"/>
      <x:color rgb="FF0B1F3A"/>
      <x:name val="Carlito"/>
    </x:font>
    <x:font>
      <x:b/>
      <x:sz val="11"/>
      <x:color rgb="FF0B1F3A"/>
      <x:name val="Carlito"/>
    </x:font>
    <x:font>
      <x:b/>
      <x:sz val="16"/>
      <x:color rgb="FFFFFFFF"/>
      <x:name val="Aptos"/>
    </x:font>
    <x:font>
      <x:i/>
      <x:sz val="10"/>
      <x:color rgb="FF0B1F3A"/>
      <x:name val="Aptos"/>
    </x:font>
    <x:font>
      <x:i/>
      <x:sz val="11"/>
      <x:color rgb="FF0B1F3A"/>
      <x:name val="Aptos"/>
    </x:font>
    <x:font>
      <x:b/>
      <x:sz val="11"/>
      <x:color rgb="FF0B1F3A"/>
      <x:name val="Aptos"/>
    </x:font>
    <x:font>
      <x:sz val="11"/>
      <x:color rgb="FF0B1F3A"/>
      <x:name val="Aptos"/>
    </x:font>
    <x:font>
      <x:b/>
      <x:i/>
      <x:sz val="11"/>
      <x:color rgb="FF0B1F3A"/>
      <x:name val="Aptos"/>
    </x:font>
    <x:font>
      <x:b/>
      <x:i/>
      <x:sz val="10"/>
      <x:color rgb="FF0B1F3A"/>
      <x:name val="Aptos"/>
    </x:font>
    <x:font>
      <x:i/>
      <x:sz val="11"/>
      <x:color rgb="FF000000"/>
      <x:name val="Aptos"/>
    </x:font>
    <x:font>
      <x:sz val="11"/>
      <x:color rgb="FF000000"/>
      <x:name val="Aptos"/>
    </x:font>
  </x:fonts>
  <x:fills count="14">
    <x:fill>
      <x:patternFill patternType="none"/>
    </x:fill>
    <x:fill>
      <x:patternFill patternType="gray125"/>
    </x:fill>
    <x:fill>
      <x:patternFill patternType="solid">
        <x:fgColor rgb="FFFAFBFC"/>
      </x:patternFill>
    </x:fill>
    <x:fill>
      <x:patternFill patternType="solid">
        <x:fgColor rgb="FF0B1F3A"/>
      </x:patternFill>
    </x:fill>
    <x:fill>
      <x:patternFill patternType="solid">
        <x:fgColor rgb="FFEAF1F8"/>
      </x:patternFill>
    </x:fill>
    <x:fill>
      <x:patternFill patternType="solid">
        <x:fgColor rgb="FFFFF4CC"/>
      </x:patternFill>
    </x:fill>
    <x:fill>
      <x:patternFill patternType="solid">
        <x:fgColor rgb="FF153E6F"/>
      </x:patternFill>
    </x:fill>
    <x:fill>
      <x:patternFill patternType="solid">
        <x:fgColor rgb="FF0B1F3A"/>
      </x:patternFill>
    </x:fill>
    <x:fill>
      <x:patternFill patternType="solid">
        <x:fgColor rgb="FFFFF2CC"/>
      </x:patternFill>
    </x:fill>
    <x:fill>
      <x:patternFill patternType="solid">
        <x:fgColor rgb="FFEAF0F7"/>
      </x:patternFill>
    </x:fill>
    <x:fill>
      <x:patternFill patternType="solid">
        <x:fgColor rgb="FFF4ECD7"/>
      </x:patternFill>
    </x:fill>
    <x:fill>
      <x:patternFill patternType="solid">
        <x:fgColor rgb="FFC7A75B"/>
      </x:patternFill>
    </x:fill>
    <x:fill>
      <x:patternFill patternType="solid">
        <x:fgColor rgb="FFF2F4F7"/>
      </x:patternFill>
    </x:fill>
    <x:fill>
      <x:patternFill patternType="solid">
        <x:fgColor rgb="FFFFFFFF"/>
      </x:patternFill>
    </x:fill>
  </x:fills>
  <x:borders count="19">
    <x:border/>
    <x:border/>
    <x:border>
      <x:top style="thin">
        <x:color rgb="FF0B1F3A"/>
      </x:top>
    </x:border>
    <x:border>
      <x:top style="thin">
        <x:color rgb="FF0B1F3A"/>
      </x:top>
    </x:border>
    <x:border>
      <x:left style="thin">
        <x:color rgb="FFD1D5DB"/>
      </x:left>
      <x:top style="thin">
        <x:color rgb="FFD1D5DB"/>
      </x:top>
    </x:border>
    <x:border>
      <x:right style="thin">
        <x:color rgb="FFD1D5DB"/>
      </x:right>
      <x:top style="thin">
        <x:color rgb="FFD1D5DB"/>
      </x:top>
    </x:border>
    <x:border>
      <x:left style="thin">
        <x:color rgb="FFD1D5DB"/>
      </x:left>
    </x:border>
    <x:border>
      <x:right style="thin">
        <x:color rgb="FFD1D5DB"/>
      </x:right>
    </x:border>
    <x:border>
      <x:left style="thin">
        <x:color rgb="FFD1D5DB"/>
      </x:left>
      <x:bottom style="thin">
        <x:color rgb="FFD1D5DB"/>
      </x:bottom>
    </x:border>
    <x:border>
      <x:right style="thin">
        <x:color rgb="FFD1D5DB"/>
      </x:right>
      <x:bottom style="thin">
        <x:color rgb="FFD1D5DB"/>
      </x:bottom>
    </x:border>
    <x:border>
      <x:left style="thin">
        <x:color rgb="FFD1D5DB"/>
      </x:left>
      <x:top style="thin">
        <x:color rgb="FFD1D5DB"/>
      </x:top>
    </x:border>
    <x:border>
      <x:right style="thin">
        <x:color rgb="FFD1D5DB"/>
      </x:right>
      <x:top style="thin">
        <x:color rgb="FFD1D5DB"/>
      </x:top>
    </x:border>
    <x:border>
      <x:left style="thin">
        <x:color rgb="FFD1D5DB"/>
      </x:left>
    </x:border>
    <x:border>
      <x:right style="thin">
        <x:color rgb="FFD1D5DB"/>
      </x:right>
    </x:border>
    <x:border>
      <x:left style="thin">
        <x:color rgb="FFD1D5DB"/>
      </x:left>
      <x:bottom style="thin">
        <x:color rgb="FFD1D5DB"/>
      </x:bottom>
    </x:border>
    <x:border>
      <x:right style="thin">
        <x:color rgb="FFD1D5DB"/>
      </x:right>
      <x:bottom style="thin">
        <x:color rgb="FFD1D5DB"/>
      </x:bottom>
    </x:border>
    <x:border>
      <x:top style="thin">
        <x:color rgb="FFC7A75B"/>
      </x:top>
    </x:border>
    <x:border>
      <x:bottom style="thin">
        <x:color rgb="FFD9DEE7"/>
      </x:bottom>
    </x:border>
    <x:border>
      <x:top style="thin">
        <x:color rgb="FFC7A75B"/>
      </x:top>
      <x:bottom style="thin">
        <x:color rgb="FFD9DEE7"/>
      </x:bottom>
    </x:border>
  </x:borders>
  <x:cellStyleXfs count="1">
    <x:xf numFmtId="0" fontId="0" fillId="0" borderId="0"/>
  </x:cellStyleXfs>
  <x:cellXfs count="554">
    <x:xf numFmtId="0" fontId="0" fillId="0" borderId="0" xfId="0"/>
    <x:xf numFmtId="0" fontId="0" fillId="0" borderId="1" xfId="0" applyNumberFormat="1" applyFont="1" applyFill="1" applyBorder="1"/>
    <x:xf numFmtId="0" fontId="0" fillId="2" borderId="0" xfId="0" applyNumberFormat="1" applyFont="1" applyFill="1" applyBorder="1"/>
    <x:xf numFmtId="0" fontId="0" fillId="2" borderId="1" xfId="0" applyNumberFormat="1" applyFont="1" applyFill="1" applyBorder="1"/>
    <x:xf numFmtId="0" fontId="0" fillId="3" borderId="0" xfId="0" applyNumberFormat="1" applyFont="1" applyFill="1" applyBorder="1"/>
    <x:xf numFmtId="0" fontId="1" fillId="3" borderId="0" xfId="0" applyNumberFormat="1" applyFont="1" applyFill="1" applyBorder="1"/>
    <x:xf numFmtId="0" fontId="1" fillId="3" borderId="0" xfId="0" applyNumberFormat="1" applyFont="1" applyFill="1" applyBorder="1" applyAlignment="1">
      <x:alignment horizontal="left"/>
    </x:xf>
    <x:xf numFmtId="0" fontId="1" fillId="3" borderId="0" xfId="0" applyNumberFormat="1" applyFont="1" applyFill="1" applyBorder="1" applyAlignment="1">
      <x:alignment horizontal="left" vertical="center"/>
    </x:xf>
    <x:xf numFmtId="0" fontId="0" fillId="3" borderId="1" xfId="0" applyNumberFormat="1" applyFont="1" applyFill="1" applyBorder="1"/>
    <x:xf numFmtId="0" fontId="1" fillId="3" borderId="1" xfId="0" applyNumberFormat="1" applyFont="1" applyFill="1" applyBorder="1"/>
    <x:xf numFmtId="0" fontId="1" fillId="3" borderId="1" xfId="0" applyNumberFormat="1" applyFont="1" applyFill="1" applyBorder="1" applyAlignment="1">
      <x:alignment horizontal="left"/>
    </x:xf>
    <x:xf numFmtId="0" fontId="1" fillId="3" borderId="1" xfId="0" applyNumberFormat="1" applyFont="1" applyFill="1" applyBorder="1" applyAlignment="1">
      <x:alignment horizontal="left" vertical="center"/>
    </x:xf>
    <x:xf numFmtId="0" fontId="0" fillId="4" borderId="0" xfId="0" applyNumberFormat="1" applyFont="1" applyFill="1" applyBorder="1"/>
    <x:xf numFmtId="0" fontId="2" fillId="4" borderId="0" xfId="0" applyNumberFormat="1" applyFont="1" applyFill="1" applyBorder="1"/>
    <x:xf numFmtId="0" fontId="2" fillId="4" borderId="0" xfId="0" applyNumberFormat="1" applyFont="1" applyFill="1" applyBorder="1" applyAlignment="1">
      <x:alignment horizontal="left"/>
    </x:xf>
    <x:xf numFmtId="0" fontId="2" fillId="4" borderId="0" xfId="0" applyNumberFormat="1" applyFont="1" applyFill="1" applyBorder="1" applyAlignment="1">
      <x:alignment horizontal="left" vertical="center"/>
    </x:xf>
    <x:xf numFmtId="0" fontId="0" fillId="4" borderId="1" xfId="0" applyNumberFormat="1" applyFont="1" applyFill="1" applyBorder="1"/>
    <x:xf numFmtId="0" fontId="2" fillId="4" borderId="1" xfId="0" applyNumberFormat="1" applyFont="1" applyFill="1" applyBorder="1"/>
    <x:xf numFmtId="0" fontId="2" fillId="4" borderId="1" xfId="0" applyNumberFormat="1" applyFont="1" applyFill="1" applyBorder="1" applyAlignment="1">
      <x:alignment horizontal="left"/>
    </x:xf>
    <x:xf numFmtId="0" fontId="2" fillId="4" borderId="1" xfId="0" applyNumberFormat="1" applyFont="1" applyFill="1" applyBorder="1" applyAlignment="1">
      <x:alignment horizontal="left" vertical="center"/>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vertical="center" wrapText="1"/>
    </x:xf>
    <x:xf numFmtId="0" fontId="5" fillId="3" borderId="0" xfId="0" applyNumberFormat="1" applyFont="1" applyFill="1" applyBorder="1"/>
    <x:xf numFmtId="0" fontId="5" fillId="3" borderId="0" xfId="0" applyNumberFormat="1" applyFont="1" applyFill="1" applyBorder="1" applyAlignment="1">
      <x:alignment horizontal="center"/>
    </x:xf>
    <x:xf numFmtId="0" fontId="5" fillId="3" borderId="1" xfId="0" applyNumberFormat="1" applyFont="1" applyFill="1" applyBorder="1"/>
    <x:xf numFmtId="0" fontId="5" fillId="3" borderId="1" xfId="0" applyNumberFormat="1" applyFont="1" applyFill="1" applyBorder="1" applyAlignment="1">
      <x:alignment horizontal="center"/>
    </x:xf>
    <x:xf numFmtId="0" fontId="6" fillId="3" borderId="0" xfId="0" applyNumberFormat="1" applyFont="1" applyFill="1" applyBorder="1"/>
    <x:xf numFmtId="0" fontId="6" fillId="3" borderId="0" xfId="0" applyNumberFormat="1" applyFont="1" applyFill="1" applyBorder="1" applyAlignment="1">
      <x:alignment horizontal="left"/>
    </x:xf>
    <x:xf numFmtId="0" fontId="6" fillId="3" borderId="0" xfId="0" applyNumberFormat="1" applyFont="1" applyFill="1" applyBorder="1" applyAlignment="1">
      <x:alignment horizontal="left" vertical="center"/>
    </x:xf>
    <x:xf numFmtId="0" fontId="6" fillId="3" borderId="1" xfId="0" applyNumberFormat="1" applyFont="1" applyFill="1" applyBorder="1"/>
    <x:xf numFmtId="0" fontId="6" fillId="3" borderId="1" xfId="0" applyNumberFormat="1" applyFont="1" applyFill="1" applyBorder="1" applyAlignment="1">
      <x:alignment horizontal="left"/>
    </x:xf>
    <x:xf numFmtId="0" fontId="6" fillId="3" borderId="1" xfId="0" applyNumberFormat="1" applyFont="1" applyFill="1" applyBorder="1" applyAlignment="1">
      <x:alignment horizontal="left" vertical="center"/>
    </x:xf>
    <x:xf numFmtId="0" fontId="7" fillId="4" borderId="0" xfId="0" applyNumberFormat="1" applyFont="1" applyFill="1" applyBorder="1"/>
    <x:xf numFmtId="0" fontId="7" fillId="4" borderId="0" xfId="0" applyNumberFormat="1" applyFont="1" applyFill="1" applyBorder="1" applyAlignment="1">
      <x:alignment horizontal="left"/>
    </x:xf>
    <x:xf numFmtId="0" fontId="7" fillId="4" borderId="0" xfId="0" applyNumberFormat="1" applyFont="1" applyFill="1" applyBorder="1" applyAlignment="1">
      <x:alignment horizontal="left" vertical="center"/>
    </x:xf>
    <x:xf numFmtId="0" fontId="7" fillId="4" borderId="1" xfId="0" applyNumberFormat="1" applyFont="1" applyFill="1" applyBorder="1"/>
    <x:xf numFmtId="0" fontId="7" fillId="4" borderId="1" xfId="0" applyNumberFormat="1" applyFont="1" applyFill="1" applyBorder="1" applyAlignment="1">
      <x:alignment horizontal="left"/>
    </x:xf>
    <x:xf numFmtId="0" fontId="7" fillId="4" borderId="1" xfId="0" applyNumberFormat="1" applyFont="1" applyFill="1" applyBorder="1" applyAlignment="1">
      <x:alignment horizontal="left" vertical="center"/>
    </x:xf>
    <x:xf numFmtId="0" fontId="0" fillId="6" borderId="0" xfId="0" applyNumberFormat="1" applyFont="1" applyFill="1" applyBorder="1"/>
    <x:xf numFmtId="0" fontId="8" fillId="6" borderId="0" xfId="0" applyNumberFormat="1" applyFont="1" applyFill="1" applyBorder="1"/>
    <x:xf numFmtId="0" fontId="8" fillId="6" borderId="0" xfId="0" applyNumberFormat="1" applyFont="1" applyFill="1" applyBorder="1" applyAlignment="1">
      <x:alignment horizontal="center"/>
    </x:xf>
    <x:xf numFmtId="0" fontId="8" fillId="6" borderId="0" xfId="0" applyNumberFormat="1" applyFont="1" applyFill="1" applyBorder="1" applyAlignment="1">
      <x:alignment horizontal="center" vertical="center"/>
    </x:xf>
    <x:xf numFmtId="0" fontId="0" fillId="6" borderId="1" xfId="0" applyNumberFormat="1" applyFont="1" applyFill="1" applyBorder="1"/>
    <x:xf numFmtId="0" fontId="8" fillId="6" borderId="1" xfId="0" applyNumberFormat="1" applyFont="1" applyFill="1" applyBorder="1"/>
    <x:xf numFmtId="0" fontId="8" fillId="6" borderId="1" xfId="0" applyNumberFormat="1" applyFont="1" applyFill="1" applyBorder="1" applyAlignment="1">
      <x:alignment horizontal="center"/>
    </x:xf>
    <x:xf numFmtId="0" fontId="8" fillId="6" borderId="1" xfId="0" applyNumberFormat="1" applyFont="1" applyFill="1" applyBorder="1" applyAlignment="1">
      <x:alignment horizontal="center" vertical="center"/>
    </x:xf>
    <x:xf numFmtId="0" fontId="8" fillId="3" borderId="0" xfId="0" applyNumberFormat="1" applyFont="1" applyFill="1" applyBorder="1"/>
    <x:xf numFmtId="0" fontId="8" fillId="3" borderId="1" xfId="0" applyNumberFormat="1" applyFont="1" applyFill="1" applyBorder="1"/>
    <x:xf numFmtId="0" fontId="8" fillId="3" borderId="0" xfId="0" applyNumberFormat="1" applyFont="1" applyFill="1" applyBorder="1" applyAlignment="1">
      <x:alignment wrapText="1"/>
    </x:xf>
    <x:xf numFmtId="0" fontId="0" fillId="0" borderId="0" xfId="0" applyNumberFormat="1" applyFont="1" applyFill="1" applyBorder="1" applyAlignment="1">
      <x:alignment wrapText="1"/>
    </x:xf>
    <x:xf numFmtId="0" fontId="8" fillId="3" borderId="1" xfId="0" applyNumberFormat="1" applyFont="1" applyFill="1" applyBorder="1" applyAlignment="1">
      <x:alignment wrapText="1"/>
    </x:xf>
    <x:xf numFmtId="0" fontId="0" fillId="0" borderId="1" xfId="0" applyNumberFormat="1" applyFont="1" applyFill="1" applyBorder="1" applyAlignment="1">
      <x:alignment wrapText="1"/>
    </x:xf>
    <x:xf numFmtId="0" fontId="8" fillId="3" borderId="0"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8" fillId="3" borderId="1"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9" fillId="3" borderId="0" xfId="0" applyNumberFormat="1" applyFont="1" applyFill="1" applyBorder="1" applyAlignment="1">
      <x:alignment vertical="top" wrapText="1"/>
    </x:xf>
    <x:xf numFmtId="0" fontId="10" fillId="0" borderId="0" xfId="0" applyNumberFormat="1" applyFont="1" applyFill="1" applyBorder="1" applyAlignment="1">
      <x:alignment vertical="top" wrapText="1"/>
    </x:xf>
    <x:xf numFmtId="0" fontId="9" fillId="3" borderId="1" xfId="0" applyNumberFormat="1" applyFont="1" applyFill="1" applyBorder="1" applyAlignment="1">
      <x:alignment vertical="top" wrapText="1"/>
    </x:xf>
    <x:xf numFmtId="0" fontId="10" fillId="0" borderId="1" xfId="0" applyNumberFormat="1" applyFont="1" applyFill="1" applyBorder="1" applyAlignment="1">
      <x:alignment vertical="top" wrapText="1"/>
    </x:xf>
    <x:xf numFmtId="0" fontId="11" fillId="3" borderId="0" xfId="0" applyNumberFormat="1" applyFont="1" applyFill="1" applyBorder="1" applyAlignment="1">
      <x:alignment vertical="top" wrapText="1"/>
    </x:xf>
    <x:xf numFmtId="0" fontId="12" fillId="0" borderId="0" xfId="0" applyNumberFormat="1" applyFont="1" applyFill="1" applyBorder="1" applyAlignment="1">
      <x:alignment vertical="top" wrapText="1"/>
    </x:xf>
    <x:xf numFmtId="0" fontId="11" fillId="3" borderId="1" xfId="0" applyNumberFormat="1" applyFont="1" applyFill="1" applyBorder="1" applyAlignment="1">
      <x:alignment vertical="top" wrapText="1"/>
    </x:xf>
    <x:xf numFmtId="0" fontId="12" fillId="0" borderId="1" xfId="0" applyNumberFormat="1" applyFont="1" applyFill="1" applyBorder="1" applyAlignment="1">
      <x:alignment vertical="top" wrapText="1"/>
    </x:xf>
    <x:xf numFmtId="0" fontId="13" fillId="3" borderId="0" xfId="0" applyNumberFormat="1" applyFont="1" applyFill="1" applyBorder="1" applyAlignment="1">
      <x:alignment vertical="top" wrapText="1"/>
    </x:xf>
    <x:xf numFmtId="0" fontId="14" fillId="0" borderId="0" xfId="0" applyNumberFormat="1" applyFont="1" applyFill="1" applyBorder="1" applyAlignment="1">
      <x:alignment vertical="top" wrapText="1"/>
    </x:xf>
    <x:xf numFmtId="0" fontId="13" fillId="3" borderId="1" xfId="0" applyNumberFormat="1" applyFont="1" applyFill="1" applyBorder="1" applyAlignment="1">
      <x:alignment vertical="top" wrapText="1"/>
    </x:xf>
    <x:xf numFmtId="0" fontId="14" fillId="0" borderId="1" xfId="0" applyNumberFormat="1" applyFont="1" applyFill="1" applyBorder="1" applyAlignment="1">
      <x:alignment vertical="top" wrapText="1"/>
    </x:xf>
    <x:xf numFmtId="0" fontId="15" fillId="0" borderId="0" xfId="0" applyNumberFormat="1" applyFont="1" applyFill="1" applyBorder="1" applyAlignment="1">
      <x:alignment vertical="top" wrapText="1"/>
    </x:xf>
    <x:xf numFmtId="0" fontId="15" fillId="0" borderId="1" xfId="0" applyNumberFormat="1" applyFont="1" applyFill="1" applyBorder="1" applyAlignment="1">
      <x:alignment vertical="top" wrapText="1"/>
    </x:xf>
    <x:xf numFmtId="0" fontId="12" fillId="5" borderId="0" xfId="0" applyNumberFormat="1" applyFont="1" applyFill="1" applyBorder="1" applyAlignment="1">
      <x:alignment vertical="top" wrapText="1"/>
    </x:xf>
    <x:xf numFmtId="0" fontId="10" fillId="5" borderId="0" xfId="0" applyNumberFormat="1" applyFont="1" applyFill="1" applyBorder="1" applyAlignment="1">
      <x:alignment vertical="top" wrapText="1"/>
    </x:xf>
    <x:xf numFmtId="0" fontId="0" fillId="5" borderId="0" xfId="0" applyNumberFormat="1" applyFont="1" applyFill="1" applyBorder="1" applyAlignment="1">
      <x:alignment vertical="top" wrapText="1"/>
    </x:xf>
    <x:xf numFmtId="0" fontId="14" fillId="5" borderId="0" xfId="0" applyNumberFormat="1" applyFont="1" applyFill="1" applyBorder="1" applyAlignment="1">
      <x:alignment vertical="top" wrapText="1"/>
    </x:xf>
    <x:xf numFmtId="0" fontId="12" fillId="5" borderId="1" xfId="0" applyNumberFormat="1" applyFont="1" applyFill="1" applyBorder="1" applyAlignment="1">
      <x:alignment vertical="top" wrapText="1"/>
    </x:xf>
    <x:xf numFmtId="0" fontId="10" fillId="5" borderId="1" xfId="0" applyNumberFormat="1" applyFont="1" applyFill="1" applyBorder="1" applyAlignment="1">
      <x:alignment vertical="top" wrapText="1"/>
    </x:xf>
    <x:xf numFmtId="0" fontId="0" fillId="5" borderId="1" xfId="0" applyNumberFormat="1" applyFont="1" applyFill="1" applyBorder="1" applyAlignment="1">
      <x:alignment vertical="top" wrapText="1"/>
    </x:xf>
    <x:xf numFmtId="0" fontId="14" fillId="5" borderId="1" xfId="0" applyNumberFormat="1" applyFont="1" applyFill="1" applyBorder="1" applyAlignment="1">
      <x:alignment vertical="top" wrapText="1"/>
    </x:xf>
    <x:xf numFmtId="200" fontId="10" fillId="0" borderId="0" xfId="0" applyNumberFormat="1" applyFont="1" applyFill="1" applyBorder="1" applyAlignment="1">
      <x:alignment vertical="top" wrapText="1"/>
    </x:xf>
    <x:xf numFmtId="200" fontId="10" fillId="0" borderId="1" xfId="0" applyNumberFormat="1" applyFont="1" applyFill="1" applyBorder="1" applyAlignment="1">
      <x:alignment vertical="top" wrapText="1"/>
    </x:xf>
    <x:xf numFmtId="200" fontId="10" fillId="5" borderId="0" xfId="0" applyNumberFormat="1" applyFont="1" applyFill="1" applyBorder="1" applyAlignment="1">
      <x:alignment vertical="top" wrapText="1"/>
    </x:xf>
    <x:xf numFmtId="200" fontId="10" fillId="5" borderId="1" xfId="0" applyNumberFormat="1" applyFont="1" applyFill="1" applyBorder="1" applyAlignment="1">
      <x:alignment vertical="top" wrapText="1"/>
    </x:xf>
    <x:xf numFmtId="201" fontId="10" fillId="0" borderId="0" xfId="0" applyNumberFormat="1" applyFont="1" applyFill="1" applyBorder="1" applyAlignment="1">
      <x:alignment vertical="top" wrapText="1"/>
    </x:xf>
    <x:xf numFmtId="201" fontId="10" fillId="0" borderId="1" xfId="0" applyNumberFormat="1" applyFont="1" applyFill="1" applyBorder="1" applyAlignment="1">
      <x:alignment vertical="top" wrapText="1"/>
    </x:xf>
    <x:xf numFmtId="201" fontId="10" fillId="5" borderId="0" xfId="0" applyNumberFormat="1" applyFont="1" applyFill="1" applyBorder="1" applyAlignment="1">
      <x:alignment vertical="top" wrapText="1"/>
    </x:xf>
    <x:xf numFmtId="201" fontId="10" fillId="5" borderId="1" xfId="0" applyNumberFormat="1" applyFont="1" applyFill="1" applyBorder="1" applyAlignment="1">
      <x:alignment vertical="top" wrapText="1"/>
    </x:xf>
    <x:xf numFmtId="202" fontId="10" fillId="0" borderId="0" xfId="0" applyNumberFormat="1" applyFont="1" applyFill="1" applyBorder="1" applyAlignment="1">
      <x:alignment vertical="top" wrapText="1"/>
    </x:xf>
    <x:xf numFmtId="202" fontId="10" fillId="0" borderId="1" xfId="0" applyNumberFormat="1" applyFont="1" applyFill="1" applyBorder="1" applyAlignment="1">
      <x:alignment vertical="top" wrapText="1"/>
    </x:xf>
    <x:xf numFmtId="203" fontId="10" fillId="0" borderId="0" xfId="0" applyNumberFormat="1" applyFont="1" applyFill="1" applyBorder="1" applyAlignment="1">
      <x:alignment vertical="top" wrapText="1"/>
    </x:xf>
    <x:xf numFmtId="203" fontId="10" fillId="0" borderId="1" xfId="0" applyNumberFormat="1" applyFont="1" applyFill="1" applyBorder="1" applyAlignment="1">
      <x:alignment vertical="top" wrapText="1"/>
    </x:xf>
    <x:xf numFmtId="202" fontId="15" fillId="0" borderId="0" xfId="0" applyNumberFormat="1" applyFont="1" applyFill="1" applyBorder="1" applyAlignment="1">
      <x:alignment vertical="top" wrapText="1"/>
    </x:xf>
    <x:xf numFmtId="202" fontId="15" fillId="0" borderId="1" xfId="0" applyNumberFormat="1" applyFont="1" applyFill="1" applyBorder="1" applyAlignment="1">
      <x:alignment vertical="top" wrapText="1"/>
    </x:xf>
    <x:xf numFmtId="203" fontId="15" fillId="0" borderId="0" xfId="0" applyNumberFormat="1" applyFont="1" applyFill="1" applyBorder="1" applyAlignment="1">
      <x:alignment vertical="top" wrapText="1"/>
    </x:xf>
    <x:xf numFmtId="203" fontId="15" fillId="0" borderId="1" xfId="0" applyNumberFormat="1" applyFont="1" applyFill="1" applyBorder="1" applyAlignment="1">
      <x:alignment vertical="top" wrapText="1"/>
    </x:xf>
    <x:xf numFmtId="204" fontId="0" fillId="0" borderId="0" xfId="0" applyNumberFormat="1" applyFont="1" applyFill="1" applyBorder="1"/>
    <x:xf numFmtId="204"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0" fontId="16" fillId="4" borderId="0" xfId="0" applyNumberFormat="1" applyFont="1" applyFill="1" applyBorder="1"/>
    <x:xf numFmtId="0" fontId="16" fillId="4" borderId="0" xfId="0" applyNumberFormat="1" applyFont="1" applyFill="1" applyBorder="1" applyAlignment="1">
      <x:alignment wrapText="1"/>
    </x:xf>
    <x:xf numFmtId="0" fontId="16" fillId="4" borderId="0" xfId="0" applyNumberFormat="1" applyFont="1" applyFill="1" applyBorder="1" applyAlignment="1">
      <x:alignment horizontal="center" wrapText="1"/>
    </x:xf>
    <x:xf numFmtId="0" fontId="16" fillId="4" borderId="1" xfId="0" applyNumberFormat="1" applyFont="1" applyFill="1" applyBorder="1"/>
    <x:xf numFmtId="0" fontId="16" fillId="4" borderId="1" xfId="0" applyNumberFormat="1" applyFont="1" applyFill="1" applyBorder="1" applyAlignment="1">
      <x:alignment wrapText="1"/>
    </x:xf>
    <x:xf numFmtId="0" fontId="16" fillId="4" borderId="1" xfId="0" applyNumberFormat="1" applyFont="1" applyFill="1" applyBorder="1" applyAlignment="1">
      <x:alignment horizontal="center" wrapText="1"/>
    </x:xf>
    <x:xf numFmtId="0" fontId="17" fillId="5" borderId="0" xfId="0" applyNumberFormat="1" applyFont="1" applyFill="1" applyBorder="1"/>
    <x:xf numFmtId="0" fontId="17" fillId="5" borderId="0" xfId="0" applyNumberFormat="1" applyFont="1" applyFill="1" applyBorder="1" applyAlignment="1">
      <x:alignment wrapText="1"/>
    </x:xf>
    <x:xf numFmtId="0" fontId="17" fillId="5" borderId="0" xfId="0" applyNumberFormat="1" applyFont="1" applyFill="1" applyBorder="1" applyAlignment="1">
      <x:alignment vertical="center" wrapText="1"/>
    </x:xf>
    <x:xf numFmtId="0" fontId="17" fillId="5" borderId="1" xfId="0" applyNumberFormat="1" applyFont="1" applyFill="1" applyBorder="1"/>
    <x:xf numFmtId="0" fontId="17" fillId="5" borderId="1" xfId="0" applyNumberFormat="1" applyFont="1" applyFill="1" applyBorder="1" applyAlignment="1">
      <x:alignment wrapText="1"/>
    </x:xf>
    <x:xf numFmtId="0" fontId="17" fillId="5" borderId="1" xfId="0" applyNumberFormat="1" applyFont="1" applyFill="1" applyBorder="1" applyAlignment="1">
      <x:alignment vertical="center" wrapText="1"/>
    </x:xf>
    <x:xf numFmtId="201" fontId="0" fillId="0" borderId="0" xfId="0" applyNumberFormat="1" applyFont="1" applyFill="1" applyBorder="1"/>
    <x:xf numFmtId="201" fontId="0"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0" fontId="0" fillId="4" borderId="0" xfId="0" applyNumberFormat="1" applyFont="1" applyFill="1" applyBorder="1"/>
    <x:xf numFmtId="200" fontId="16" fillId="4" borderId="0" xfId="0" applyNumberFormat="1" applyFont="1" applyFill="1" applyBorder="1"/>
    <x:xf numFmtId="0" fontId="16" fillId="4" borderId="0" xfId="0" applyNumberFormat="1" applyFont="1" applyFill="1" applyBorder="1" applyAlignment="1">
      <x:alignment horizontal="center"/>
    </x:xf>
    <x:xf numFmtId="200" fontId="16" fillId="4" borderId="0" xfId="0" applyNumberFormat="1" applyFont="1" applyFill="1" applyBorder="1" applyAlignment="1">
      <x:alignment horizontal="center"/>
    </x:xf>
    <x:xf numFmtId="0" fontId="16" fillId="4" borderId="0" xfId="0" applyNumberFormat="1" applyFont="1" applyFill="1" applyBorder="1" applyAlignment="1">
      <x:alignment horizontal="center" vertical="center"/>
    </x:xf>
    <x:xf numFmtId="200" fontId="16" fillId="4" borderId="0" xfId="0" applyNumberFormat="1" applyFont="1" applyFill="1" applyBorder="1" applyAlignment="1">
      <x:alignment horizontal="center" vertical="center"/>
    </x:xf>
    <x:xf numFmtId="200" fontId="0" fillId="4" borderId="1" xfId="0" applyNumberFormat="1" applyFont="1" applyFill="1" applyBorder="1"/>
    <x:xf numFmtId="200" fontId="16" fillId="4" borderId="1" xfId="0" applyNumberFormat="1" applyFont="1" applyFill="1" applyBorder="1"/>
    <x:xf numFmtId="0" fontId="16" fillId="4" borderId="1" xfId="0" applyNumberFormat="1" applyFont="1" applyFill="1" applyBorder="1" applyAlignment="1">
      <x:alignment horizontal="center"/>
    </x:xf>
    <x:xf numFmtId="200" fontId="16" fillId="4" borderId="1" xfId="0" applyNumberFormat="1" applyFont="1" applyFill="1" applyBorder="1" applyAlignment="1">
      <x:alignment horizontal="center"/>
    </x:xf>
    <x:xf numFmtId="0" fontId="16" fillId="4" borderId="1" xfId="0" applyNumberFormat="1" applyFont="1" applyFill="1" applyBorder="1" applyAlignment="1">
      <x:alignment horizontal="center" vertical="center"/>
    </x:xf>
    <x:xf numFmtId="200" fontId="16" fillId="4" borderId="1" xfId="0" applyNumberFormat="1" applyFont="1" applyFill="1" applyBorder="1" applyAlignment="1">
      <x:alignment horizontal="center" vertical="center"/>
    </x:xf>
    <x:xf numFmtId="0" fontId="8" fillId="3" borderId="0" xfId="0" applyNumberFormat="1" applyFont="1" applyFill="1" applyBorder="1" applyAlignment="1">
      <x:alignment horizontal="left"/>
    </x:xf>
    <x:xf numFmtId="0" fontId="8" fillId="3" borderId="0" xfId="0" applyNumberFormat="1" applyFont="1" applyFill="1" applyBorder="1" applyAlignment="1">
      <x:alignment horizontal="left" vertical="center"/>
    </x:xf>
    <x:xf numFmtId="0" fontId="8" fillId="3" borderId="1" xfId="0" applyNumberFormat="1" applyFont="1" applyFill="1" applyBorder="1" applyAlignment="1">
      <x:alignment horizontal="left"/>
    </x:xf>
    <x:xf numFmtId="0" fontId="8" fillId="3" borderId="1" xfId="0" applyNumberFormat="1" applyFont="1" applyFill="1" applyBorder="1" applyAlignment="1">
      <x:alignment horizontal="left" vertical="center"/>
    </x:xf>
    <x:xf numFmtId="0" fontId="9" fillId="0" borderId="0" xfId="0" applyNumberFormat="1" applyFont="1" applyFill="1" applyBorder="1"/>
    <x:xf numFmtId="0" fontId="9" fillId="0" borderId="1" xfId="0" applyNumberFormat="1" applyFont="1" applyFill="1" applyBorder="1"/>
    <x:xf numFmtId="0" fontId="9" fillId="5" borderId="0" xfId="0" applyNumberFormat="1" applyFont="1" applyFill="1" applyBorder="1"/>
    <x:xf numFmtId="0" fontId="9" fillId="5" borderId="1" xfId="0" applyNumberFormat="1" applyFont="1" applyFill="1" applyBorder="1"/>
    <x:xf numFmtId="204" fontId="9" fillId="5" borderId="0" xfId="0" applyNumberFormat="1" applyFont="1" applyFill="1" applyBorder="1"/>
    <x:xf numFmtId="204" fontId="9" fillId="5" borderId="1" xfId="0" applyNumberFormat="1" applyFont="1" applyFill="1" applyBorder="1"/>
    <x:xf numFmtId="0" fontId="12" fillId="0" borderId="0" xfId="0" applyNumberFormat="1" applyFont="1" applyFill="1" applyBorder="1"/>
    <x:xf numFmtId="0" fontId="11" fillId="3" borderId="0" xfId="0" applyNumberFormat="1" applyFont="1" applyFill="1" applyBorder="1" applyAlignment="1">
      <x:alignment horizontal="left" vertical="center"/>
    </x:xf>
    <x:xf numFmtId="0" fontId="12" fillId="0" borderId="1" xfId="0" applyNumberFormat="1" applyFont="1" applyFill="1" applyBorder="1"/>
    <x:xf numFmtId="0" fontId="11" fillId="3" borderId="1" xfId="0" applyNumberFormat="1" applyFont="1" applyFill="1" applyBorder="1" applyAlignment="1">
      <x:alignment horizontal="left" vertical="center"/>
    </x:xf>
    <x:xf numFmtId="0" fontId="12" fillId="0" borderId="0" xfId="0" applyNumberFormat="1" applyFont="1" applyFill="1" applyBorder="1" applyAlignment="1">
      <x:alignment wrapText="1"/>
    </x:xf>
    <x:xf numFmtId="0" fontId="11" fillId="3" borderId="0" xfId="0" applyNumberFormat="1" applyFont="1" applyFill="1" applyBorder="1" applyAlignment="1">
      <x:alignment horizontal="left" vertical="center" wrapText="1"/>
    </x:xf>
    <x:xf numFmtId="0" fontId="12" fillId="0" borderId="1" xfId="0" applyNumberFormat="1" applyFont="1" applyFill="1" applyBorder="1" applyAlignment="1">
      <x:alignment wrapText="1"/>
    </x:xf>
    <x:xf numFmtId="0" fontId="11" fillId="3" borderId="1" xfId="0" applyNumberFormat="1" applyFont="1" applyFill="1" applyBorder="1" applyAlignment="1">
      <x:alignment horizontal="left" vertical="center" wrapText="1"/>
    </x:xf>
    <x:xf numFmtId="202" fontId="0" fillId="0" borderId="0" xfId="0" applyNumberFormat="1" applyFont="1" applyFill="1" applyBorder="1" applyAlignment="1">
      <x:alignment horizontal="right"/>
    </x:xf>
    <x:xf numFmtId="204" fontId="9" fillId="5" borderId="0" xfId="0" applyNumberFormat="1" applyFont="1" applyFill="1" applyBorder="1" applyAlignment="1">
      <x:alignment horizontal="right"/>
    </x:xf>
    <x:xf numFmtId="204" fontId="0" fillId="0" borderId="0" xfId="0" applyNumberFormat="1" applyFont="1" applyFill="1" applyBorder="1" applyAlignment="1">
      <x:alignment horizontal="right"/>
    </x:xf>
    <x:xf numFmtId="0" fontId="0" fillId="0" borderId="0" xfId="0" applyNumberFormat="1" applyFont="1" applyFill="1" applyBorder="1" applyAlignment="1">
      <x:alignment horizontal="right"/>
    </x:xf>
    <x:xf numFmtId="0" fontId="8" fillId="3" borderId="0" xfId="0" applyNumberFormat="1" applyFont="1" applyFill="1" applyBorder="1" applyAlignment="1">
      <x:alignment horizontal="right" vertical="center"/>
    </x:xf>
    <x:xf numFmtId="201" fontId="0" fillId="0" borderId="0" xfId="0" applyNumberFormat="1" applyFont="1" applyFill="1" applyBorder="1" applyAlignment="1">
      <x:alignment horizontal="right"/>
    </x:xf>
    <x:xf numFmtId="202" fontId="0" fillId="0" borderId="1" xfId="0" applyNumberFormat="1" applyFont="1" applyFill="1" applyBorder="1" applyAlignment="1">
      <x:alignment horizontal="right"/>
    </x:xf>
    <x:xf numFmtId="204" fontId="9" fillId="5" borderId="1" xfId="0" applyNumberFormat="1" applyFont="1" applyFill="1" applyBorder="1" applyAlignment="1">
      <x:alignment horizontal="right"/>
    </x:xf>
    <x:xf numFmtId="204" fontId="0" fillId="0" borderId="1" xfId="0" applyNumberFormat="1" applyFont="1" applyFill="1" applyBorder="1" applyAlignment="1">
      <x:alignment horizontal="right"/>
    </x:xf>
    <x:xf numFmtId="0" fontId="0" fillId="0" borderId="1" xfId="0" applyNumberFormat="1" applyFont="1" applyFill="1" applyBorder="1" applyAlignment="1">
      <x:alignment horizontal="right"/>
    </x:xf>
    <x:xf numFmtId="0" fontId="8" fillId="3" borderId="1" xfId="0" applyNumberFormat="1" applyFont="1" applyFill="1" applyBorder="1" applyAlignment="1">
      <x:alignment horizontal="right" vertical="center"/>
    </x:xf>
    <x:xf numFmtId="201" fontId="0" fillId="0" borderId="1" xfId="0" applyNumberFormat="1" applyFont="1" applyFill="1" applyBorder="1" applyAlignment="1">
      <x:alignment horizontal="right"/>
    </x:xf>
    <x:xf numFmtId="0" fontId="0" fillId="0" borderId="0" xfId="0" applyNumberFormat="1" applyFont="1" applyFill="1" applyBorder="1" applyAlignment="1">
      <x:alignment vertical="center"/>
    </x:xf>
    <x:xf numFmtId="0" fontId="12" fillId="0" borderId="0" xfId="0" applyNumberFormat="1" applyFont="1" applyFill="1" applyBorder="1" applyAlignment="1">
      <x:alignment vertical="center" wrapText="1"/>
    </x:xf>
    <x:xf numFmtId="202" fontId="0" fillId="0" borderId="0" xfId="0" applyNumberFormat="1" applyFont="1" applyFill="1" applyBorder="1" applyAlignment="1">
      <x:alignment horizontal="right" vertical="center"/>
    </x:xf>
    <x:xf numFmtId="204" fontId="9" fillId="5" borderId="0" xfId="0" applyNumberFormat="1" applyFont="1" applyFill="1" applyBorder="1" applyAlignment="1">
      <x:alignment horizontal="right" vertical="center"/>
    </x:xf>
    <x:xf numFmtId="204" fontId="0" fillId="0" borderId="0" xfId="0" applyNumberFormat="1" applyFont="1" applyFill="1" applyBorder="1" applyAlignment="1">
      <x:alignment horizontal="right" vertical="center"/>
    </x:xf>
    <x:xf numFmtId="0" fontId="0" fillId="0" borderId="0" xfId="0" applyNumberFormat="1" applyFont="1" applyFill="1" applyBorder="1" applyAlignment="1">
      <x:alignment horizontal="right" vertical="center"/>
    </x:xf>
    <x:xf numFmtId="201" fontId="0" fillId="0" borderId="0" xfId="0" applyNumberFormat="1" applyFont="1" applyFill="1" applyBorder="1" applyAlignment="1">
      <x:alignment horizontal="right" vertical="center"/>
    </x:xf>
    <x:xf numFmtId="0" fontId="0" fillId="0" borderId="1" xfId="0" applyNumberFormat="1" applyFont="1" applyFill="1" applyBorder="1" applyAlignment="1">
      <x:alignment vertical="center"/>
    </x:xf>
    <x:xf numFmtId="0" fontId="12" fillId="0" borderId="1" xfId="0" applyNumberFormat="1" applyFont="1" applyFill="1" applyBorder="1" applyAlignment="1">
      <x:alignment vertical="center" wrapText="1"/>
    </x:xf>
    <x:xf numFmtId="202" fontId="0" fillId="0" borderId="1" xfId="0" applyNumberFormat="1" applyFont="1" applyFill="1" applyBorder="1" applyAlignment="1">
      <x:alignment horizontal="right" vertical="center"/>
    </x:xf>
    <x:xf numFmtId="204" fontId="9" fillId="5" borderId="1" xfId="0" applyNumberFormat="1" applyFont="1" applyFill="1" applyBorder="1" applyAlignment="1">
      <x:alignment horizontal="right" vertical="center"/>
    </x:xf>
    <x:xf numFmtId="204" fontId="0" fillId="0" borderId="1" xfId="0" applyNumberFormat="1" applyFont="1" applyFill="1" applyBorder="1" applyAlignment="1">
      <x:alignment horizontal="right" vertical="center"/>
    </x:xf>
    <x:xf numFmtId="0" fontId="0" fillId="0" borderId="1" xfId="0" applyNumberFormat="1" applyFont="1" applyFill="1" applyBorder="1" applyAlignment="1">
      <x:alignment horizontal="right" vertical="center"/>
    </x:xf>
    <x:xf numFmtId="201" fontId="0" fillId="0" borderId="1" xfId="0" applyNumberFormat="1" applyFont="1" applyFill="1" applyBorder="1" applyAlignment="1">
      <x:alignment horizontal="right" vertical="center"/>
    </x:xf>
    <x:xf numFmtId="0" fontId="11" fillId="0" borderId="0" xfId="0" applyNumberFormat="1" applyFont="1" applyFill="1" applyBorder="1" applyAlignment="1">
      <x:alignment vertical="center" wrapText="1"/>
    </x:xf>
    <x:xf numFmtId="202" fontId="18" fillId="0" borderId="0" xfId="0" applyNumberFormat="1" applyFont="1" applyFill="1" applyBorder="1" applyAlignment="1">
      <x:alignment horizontal="right" vertical="center"/>
    </x:xf>
    <x:xf numFmtId="0" fontId="11" fillId="0" borderId="1" xfId="0" applyNumberFormat="1" applyFont="1" applyFill="1" applyBorder="1" applyAlignment="1">
      <x:alignment vertical="center" wrapText="1"/>
    </x:xf>
    <x:xf numFmtId="202" fontId="18" fillId="0" borderId="1" xfId="0" applyNumberFormat="1" applyFont="1" applyFill="1" applyBorder="1" applyAlignment="1">
      <x:alignment horizontal="right" vertical="center"/>
    </x:xf>
    <x:xf numFmtId="0" fontId="11" fillId="0" borderId="2" xfId="0" applyNumberFormat="1" applyFont="1" applyFill="1" applyBorder="1" applyAlignment="1">
      <x:alignment vertical="center" wrapText="1"/>
    </x:xf>
    <x:xf numFmtId="202" fontId="18" fillId="0" borderId="2" xfId="0" applyNumberFormat="1" applyFont="1" applyFill="1" applyBorder="1" applyAlignment="1">
      <x:alignment horizontal="right" vertical="center"/>
    </x:xf>
    <x:xf numFmtId="0" fontId="11" fillId="0" borderId="3" xfId="0" applyNumberFormat="1" applyFont="1" applyFill="1" applyBorder="1" applyAlignment="1">
      <x:alignment vertical="center" wrapText="1"/>
    </x:xf>
    <x:xf numFmtId="202" fontId="18" fillId="0" borderId="3" xfId="0" applyNumberFormat="1" applyFont="1" applyFill="1" applyBorder="1" applyAlignment="1">
      <x:alignment horizontal="right" vertical="center"/>
    </x:xf>
    <x:xf numFmtId="0" fontId="11" fillId="4" borderId="0" xfId="0" applyNumberFormat="1" applyFont="1" applyFill="1" applyBorder="1" applyAlignment="1">
      <x:alignment vertical="center" wrapText="1"/>
    </x:xf>
    <x:xf numFmtId="202" fontId="18" fillId="4" borderId="0" xfId="0" applyNumberFormat="1" applyFont="1" applyFill="1" applyBorder="1" applyAlignment="1">
      <x:alignment horizontal="right" vertical="center"/>
    </x:xf>
    <x:xf numFmtId="0" fontId="11" fillId="4" borderId="1" xfId="0" applyNumberFormat="1" applyFont="1" applyFill="1" applyBorder="1" applyAlignment="1">
      <x:alignment vertical="center" wrapText="1"/>
    </x:xf>
    <x:xf numFmtId="202" fontId="18" fillId="4" borderId="1" xfId="0" applyNumberFormat="1" applyFont="1" applyFill="1" applyBorder="1" applyAlignment="1">
      <x:alignment horizontal="right" vertical="center"/>
    </x:xf>
    <x:xf numFmtId="0" fontId="8" fillId="3" borderId="0" xfId="0" applyNumberFormat="1" applyFont="1" applyFill="1" applyBorder="1" applyAlignment="1">
      <x:alignment horizontal="center"/>
    </x:xf>
    <x:xf numFmtId="0" fontId="8" fillId="3" borderId="1" xfId="0" applyNumberFormat="1" applyFont="1" applyFill="1" applyBorder="1" applyAlignment="1">
      <x:alignment horizontal="center"/>
    </x:xf>
    <x:xf numFmtId="0" fontId="0" fillId="0" borderId="4" xfId="0" applyNumberFormat="1" applyFont="1" applyFill="1" applyBorder="1"/>
    <x:xf numFmtId="202" fontId="0" fillId="0" borderId="5" xfId="0" applyNumberFormat="1" applyFont="1" applyFill="1" applyBorder="1"/>
    <x:xf numFmtId="0" fontId="0" fillId="0" borderId="6" xfId="0" applyNumberFormat="1" applyFont="1" applyFill="1" applyBorder="1"/>
    <x:xf numFmtId="202" fontId="0" fillId="0" borderId="7" xfId="0" applyNumberFormat="1" applyFont="1" applyFill="1" applyBorder="1"/>
    <x:xf numFmtId="204" fontId="0" fillId="0" borderId="7" xfId="0" applyNumberFormat="1" applyFont="1" applyFill="1" applyBorder="1"/>
    <x:xf numFmtId="0" fontId="0" fillId="0" borderId="8" xfId="0" applyNumberFormat="1" applyFont="1" applyFill="1" applyBorder="1"/>
    <x:xf numFmtId="202" fontId="0" fillId="0" borderId="9" xfId="0" applyNumberFormat="1" applyFont="1" applyFill="1" applyBorder="1"/>
    <x:xf numFmtId="0" fontId="0" fillId="0" borderId="10" xfId="0" applyNumberFormat="1" applyFont="1" applyFill="1" applyBorder="1"/>
    <x:xf numFmtId="202" fontId="0" fillId="0" borderId="11" xfId="0" applyNumberFormat="1" applyFont="1" applyFill="1" applyBorder="1"/>
    <x:xf numFmtId="0" fontId="0" fillId="0" borderId="12" xfId="0" applyNumberFormat="1" applyFont="1" applyFill="1" applyBorder="1"/>
    <x:xf numFmtId="202" fontId="0" fillId="0" borderId="13" xfId="0" applyNumberFormat="1" applyFont="1" applyFill="1" applyBorder="1"/>
    <x:xf numFmtId="204" fontId="0" fillId="0" borderId="13" xfId="0" applyNumberFormat="1" applyFont="1" applyFill="1" applyBorder="1"/>
    <x:xf numFmtId="0" fontId="0" fillId="0" borderId="14" xfId="0" applyNumberFormat="1" applyFont="1" applyFill="1" applyBorder="1"/>
    <x:xf numFmtId="202" fontId="0" fillId="0" borderId="15" xfId="0" applyNumberFormat="1" applyFont="1" applyFill="1" applyBorder="1"/>
    <x:xf numFmtId="205" fontId="0" fillId="0" borderId="0" xfId="0" applyNumberFormat="1" applyFont="1" applyFill="1" applyBorder="1"/>
    <x:xf numFmtId="205" fontId="0" fillId="0" borderId="1" xfId="0" applyNumberFormat="1" applyFont="1" applyFill="1" applyBorder="1"/>
    <x:xf numFmtId="0" fontId="19" fillId="3" borderId="0" xfId="0" applyNumberFormat="1" applyFont="1" applyFill="1" applyBorder="1" applyAlignment="1">
      <x:alignment horizontal="left" vertical="center"/>
    </x:xf>
    <x:xf numFmtId="0" fontId="20" fillId="0" borderId="0" xfId="0" applyNumberFormat="1" applyFont="1" applyFill="1" applyBorder="1"/>
    <x:xf numFmtId="0" fontId="21" fillId="4" borderId="0" xfId="0" applyNumberFormat="1" applyFont="1" applyFill="1" applyBorder="1" applyAlignment="1">
      <x:alignment horizontal="left" vertical="center"/>
    </x:xf>
    <x:xf numFmtId="0" fontId="20" fillId="2" borderId="0" xfId="0" applyNumberFormat="1" applyFont="1" applyFill="1" applyBorder="1"/>
    <x:xf numFmtId="0" fontId="22" fillId="2" borderId="0" xfId="0" applyNumberFormat="1" applyFont="1" applyFill="1" applyBorder="1" applyAlignment="1">
      <x:alignment vertical="center" wrapText="1"/>
    </x:xf>
    <x:xf numFmtId="0" fontId="23" fillId="5" borderId="0" xfId="0" applyNumberFormat="1" applyFont="1" applyFill="1" applyBorder="1" applyAlignment="1">
      <x:alignment vertical="center" wrapText="1"/>
    </x:xf>
    <x:xf numFmtId="0" fontId="24" fillId="3" borderId="0" xfId="0" applyNumberFormat="1" applyFont="1" applyFill="1" applyBorder="1" applyAlignment="1">
      <x:alignment horizontal="center"/>
    </x:xf>
    <x:xf numFmtId="0" fontId="19" fillId="3" borderId="1" xfId="0" applyNumberFormat="1" applyFont="1" applyFill="1" applyBorder="1" applyAlignment="1">
      <x:alignment horizontal="left" vertical="center"/>
    </x:xf>
    <x:xf numFmtId="0" fontId="20" fillId="0" borderId="1" xfId="0" applyNumberFormat="1" applyFont="1" applyFill="1" applyBorder="1"/>
    <x:xf numFmtId="0" fontId="21" fillId="4" borderId="1" xfId="0" applyNumberFormat="1" applyFont="1" applyFill="1" applyBorder="1" applyAlignment="1">
      <x:alignment horizontal="left" vertical="center"/>
    </x:xf>
    <x:xf numFmtId="0" fontId="20" fillId="2" borderId="1" xfId="0" applyNumberFormat="1" applyFont="1" applyFill="1" applyBorder="1"/>
    <x:xf numFmtId="0" fontId="22" fillId="2" borderId="1" xfId="0" applyNumberFormat="1" applyFont="1" applyFill="1" applyBorder="1" applyAlignment="1">
      <x:alignment vertical="center" wrapText="1"/>
    </x:xf>
    <x:xf numFmtId="0" fontId="23" fillId="5" borderId="1" xfId="0" applyNumberFormat="1" applyFont="1" applyFill="1" applyBorder="1" applyAlignment="1">
      <x:alignment vertical="center" wrapText="1"/>
    </x:xf>
    <x:xf numFmtId="0" fontId="24" fillId="3" borderId="1" xfId="0" applyNumberFormat="1" applyFont="1" applyFill="1" applyBorder="1" applyAlignment="1">
      <x:alignment horizontal="center"/>
    </x:xf>
    <x:xf numFmtId="0" fontId="19" fillId="3" borderId="0" xfId="0" applyNumberFormat="1" applyFont="1" applyFill="1" applyBorder="1" applyAlignment="1">
      <x:alignment horizontal="left" vertical="center" wrapText="1"/>
    </x:xf>
    <x:xf numFmtId="0" fontId="20" fillId="0" borderId="0" xfId="0" applyNumberFormat="1" applyFont="1" applyFill="1" applyBorder="1" applyAlignment="1">
      <x:alignment wrapText="1"/>
    </x:xf>
    <x:xf numFmtId="0" fontId="21" fillId="4" borderId="0" xfId="0" applyNumberFormat="1" applyFont="1" applyFill="1" applyBorder="1" applyAlignment="1">
      <x:alignment horizontal="left" vertical="center" wrapText="1"/>
    </x:xf>
    <x:xf numFmtId="0" fontId="20" fillId="2" borderId="0" xfId="0" applyNumberFormat="1" applyFont="1" applyFill="1" applyBorder="1" applyAlignment="1">
      <x:alignment wrapText="1"/>
    </x:xf>
    <x:xf numFmtId="0" fontId="24" fillId="3" borderId="0" xfId="0" applyNumberFormat="1" applyFont="1" applyFill="1" applyBorder="1" applyAlignment="1">
      <x:alignment horizontal="center" wrapText="1"/>
    </x:xf>
    <x:xf numFmtId="0" fontId="19" fillId="3" borderId="1" xfId="0" applyNumberFormat="1" applyFont="1" applyFill="1" applyBorder="1" applyAlignment="1">
      <x:alignment horizontal="left" vertical="center" wrapText="1"/>
    </x:xf>
    <x:xf numFmtId="0" fontId="20" fillId="0" borderId="1" xfId="0" applyNumberFormat="1" applyFont="1" applyFill="1" applyBorder="1" applyAlignment="1">
      <x:alignment wrapText="1"/>
    </x:xf>
    <x:xf numFmtId="0" fontId="21" fillId="4" borderId="1" xfId="0" applyNumberFormat="1" applyFont="1" applyFill="1" applyBorder="1" applyAlignment="1">
      <x:alignment horizontal="left" vertical="center" wrapText="1"/>
    </x:xf>
    <x:xf numFmtId="0" fontId="20" fillId="2" borderId="1" xfId="0" applyNumberFormat="1" applyFont="1" applyFill="1" applyBorder="1" applyAlignment="1">
      <x:alignment wrapText="1"/>
    </x:xf>
    <x:xf numFmtId="0" fontId="24" fillId="3" borderId="1" xfId="0" applyNumberFormat="1" applyFont="1" applyFill="1" applyBorder="1" applyAlignment="1">
      <x:alignment horizontal="center" wrapText="1"/>
    </x:xf>
    <x:xf numFmtId="0" fontId="25" fillId="3" borderId="0" xfId="0" applyNumberFormat="1" applyFont="1" applyFill="1" applyBorder="1" applyAlignment="1">
      <x:alignment horizontal="left" vertical="center"/>
    </x:xf>
    <x:xf numFmtId="0" fontId="26" fillId="4" borderId="0" xfId="0" applyNumberFormat="1" applyFont="1" applyFill="1" applyBorder="1" applyAlignment="1">
      <x:alignment horizontal="left" vertical="center"/>
    </x:xf>
    <x:xf numFmtId="0" fontId="27" fillId="6" borderId="0" xfId="0" applyNumberFormat="1" applyFont="1" applyFill="1" applyBorder="1" applyAlignment="1">
      <x:alignment horizontal="center" vertical="center"/>
    </x:xf>
    <x:xf numFmtId="0" fontId="28" fillId="3" borderId="0" xfId="0" applyNumberFormat="1" applyFont="1" applyFill="1" applyBorder="1" applyAlignment="1">
      <x:alignment vertical="top" wrapText="1"/>
    </x:xf>
    <x:xf numFmtId="0" fontId="29" fillId="3" borderId="0" xfId="0" applyNumberFormat="1" applyFont="1" applyFill="1" applyBorder="1" applyAlignment="1">
      <x:alignment vertical="top" wrapText="1"/>
    </x:xf>
    <x:xf numFmtId="0" fontId="27" fillId="3" borderId="0" xfId="0" applyNumberFormat="1" applyFont="1" applyFill="1" applyBorder="1" applyAlignment="1">
      <x:alignment vertical="top" wrapText="1"/>
    </x:xf>
    <x:xf numFmtId="0" fontId="30" fillId="3" borderId="0" xfId="0" applyNumberFormat="1" applyFont="1" applyFill="1" applyBorder="1" applyAlignment="1">
      <x:alignment vertical="top" wrapText="1"/>
    </x:xf>
    <x:xf numFmtId="0" fontId="31" fillId="0" borderId="0" xfId="0" applyNumberFormat="1" applyFont="1" applyFill="1" applyBorder="1" applyAlignment="1">
      <x:alignment vertical="top" wrapText="1"/>
    </x:xf>
    <x:xf numFmtId="200" fontId="32" fillId="0" borderId="0" xfId="0" applyNumberFormat="1" applyFont="1" applyFill="1" applyBorder="1" applyAlignment="1">
      <x:alignment vertical="top" wrapText="1"/>
    </x:xf>
    <x:xf numFmtId="0" fontId="20" fillId="0" borderId="0" xfId="0" applyNumberFormat="1" applyFont="1" applyFill="1" applyBorder="1" applyAlignment="1">
      <x:alignment vertical="top" wrapText="1"/>
    </x:xf>
    <x:xf numFmtId="0" fontId="33" fillId="0" borderId="0" xfId="0" applyNumberFormat="1" applyFont="1" applyFill="1" applyBorder="1" applyAlignment="1">
      <x:alignment vertical="top" wrapText="1"/>
    </x:xf>
    <x:xf numFmtId="0" fontId="32" fillId="0" borderId="0" xfId="0" applyNumberFormat="1" applyFont="1" applyFill="1" applyBorder="1" applyAlignment="1">
      <x:alignment vertical="top" wrapText="1"/>
    </x:xf>
    <x:xf numFmtId="0" fontId="31" fillId="5" borderId="0" xfId="0" applyNumberFormat="1" applyFont="1" applyFill="1" applyBorder="1" applyAlignment="1">
      <x:alignment vertical="top" wrapText="1"/>
    </x:xf>
    <x:xf numFmtId="0" fontId="32" fillId="5" borderId="0" xfId="0" applyNumberFormat="1" applyFont="1" applyFill="1" applyBorder="1" applyAlignment="1">
      <x:alignment vertical="top" wrapText="1"/>
    </x:xf>
    <x:xf numFmtId="0" fontId="20" fillId="5" borderId="0" xfId="0" applyNumberFormat="1" applyFont="1" applyFill="1" applyBorder="1" applyAlignment="1">
      <x:alignment vertical="top" wrapText="1"/>
    </x:xf>
    <x:xf numFmtId="0" fontId="33" fillId="5" borderId="0" xfId="0" applyNumberFormat="1" applyFont="1" applyFill="1" applyBorder="1" applyAlignment="1">
      <x:alignment vertical="top" wrapText="1"/>
    </x:xf>
    <x:xf numFmtId="201" fontId="32" fillId="0" borderId="0" xfId="0" applyNumberFormat="1" applyFont="1" applyFill="1" applyBorder="1" applyAlignment="1">
      <x:alignment vertical="top" wrapText="1"/>
    </x:xf>
    <x:xf numFmtId="201" fontId="32" fillId="5" borderId="0" xfId="0" applyNumberFormat="1" applyFont="1" applyFill="1" applyBorder="1" applyAlignment="1">
      <x:alignment vertical="top" wrapText="1"/>
    </x:xf>
    <x:xf numFmtId="0" fontId="34" fillId="0" borderId="0" xfId="0" applyNumberFormat="1" applyFont="1" applyFill="1" applyBorder="1" applyAlignment="1">
      <x:alignment vertical="top" wrapText="1"/>
    </x:xf>
    <x:xf numFmtId="202" fontId="32" fillId="0" borderId="0" xfId="0" applyNumberFormat="1" applyFont="1" applyFill="1" applyBorder="1" applyAlignment="1">
      <x:alignment vertical="top" wrapText="1"/>
    </x:xf>
    <x:xf numFmtId="203" fontId="32" fillId="0" borderId="0" xfId="0" applyNumberFormat="1" applyFont="1" applyFill="1" applyBorder="1" applyAlignment="1">
      <x:alignment vertical="top" wrapText="1"/>
    </x:xf>
    <x:xf numFmtId="203" fontId="34" fillId="0" borderId="0" xfId="0" applyNumberFormat="1" applyFont="1" applyFill="1" applyBorder="1" applyAlignment="1">
      <x:alignment vertical="top" wrapText="1"/>
    </x:xf>
    <x:xf numFmtId="202" fontId="34" fillId="0" borderId="0" xfId="0" applyNumberFormat="1" applyFont="1" applyFill="1" applyBorder="1" applyAlignment="1">
      <x:alignment vertical="top" wrapText="1"/>
    </x:xf>
    <x:xf numFmtId="200" fontId="32" fillId="5" borderId="0" xfId="0" applyNumberFormat="1" applyFont="1" applyFill="1" applyBorder="1" applyAlignment="1">
      <x:alignment vertical="top" wrapText="1"/>
    </x:xf>
    <x:xf numFmtId="0" fontId="25" fillId="3" borderId="1" xfId="0" applyNumberFormat="1" applyFont="1" applyFill="1" applyBorder="1" applyAlignment="1">
      <x:alignment horizontal="left" vertical="center"/>
    </x:xf>
    <x:xf numFmtId="0" fontId="26" fillId="4" borderId="1" xfId="0" applyNumberFormat="1" applyFont="1" applyFill="1" applyBorder="1" applyAlignment="1">
      <x:alignment horizontal="left" vertical="center"/>
    </x:xf>
    <x:xf numFmtId="0" fontId="27" fillId="6" borderId="1" xfId="0" applyNumberFormat="1" applyFont="1" applyFill="1" applyBorder="1" applyAlignment="1">
      <x:alignment horizontal="center" vertical="center"/>
    </x:xf>
    <x:xf numFmtId="0" fontId="28" fillId="3" borderId="1" xfId="0" applyNumberFormat="1" applyFont="1" applyFill="1" applyBorder="1" applyAlignment="1">
      <x:alignment vertical="top" wrapText="1"/>
    </x:xf>
    <x:xf numFmtId="0" fontId="29" fillId="3" borderId="1" xfId="0" applyNumberFormat="1" applyFont="1" applyFill="1" applyBorder="1" applyAlignment="1">
      <x:alignment vertical="top" wrapText="1"/>
    </x:xf>
    <x:xf numFmtId="0" fontId="27" fillId="3" borderId="1" xfId="0" applyNumberFormat="1" applyFont="1" applyFill="1" applyBorder="1" applyAlignment="1">
      <x:alignment vertical="top" wrapText="1"/>
    </x:xf>
    <x:xf numFmtId="0" fontId="30" fillId="3" borderId="1" xfId="0" applyNumberFormat="1" applyFont="1" applyFill="1" applyBorder="1" applyAlignment="1">
      <x:alignment vertical="top" wrapText="1"/>
    </x:xf>
    <x:xf numFmtId="0" fontId="31" fillId="0" borderId="1" xfId="0" applyNumberFormat="1" applyFont="1" applyFill="1" applyBorder="1" applyAlignment="1">
      <x:alignment vertical="top" wrapText="1"/>
    </x:xf>
    <x:xf numFmtId="200" fontId="32" fillId="0" borderId="1" xfId="0" applyNumberFormat="1" applyFont="1" applyFill="1" applyBorder="1" applyAlignment="1">
      <x:alignment vertical="top" wrapText="1"/>
    </x:xf>
    <x:xf numFmtId="0" fontId="20" fillId="0" borderId="1" xfId="0" applyNumberFormat="1" applyFont="1" applyFill="1" applyBorder="1" applyAlignment="1">
      <x:alignment vertical="top" wrapText="1"/>
    </x:xf>
    <x:xf numFmtId="0" fontId="33" fillId="0" borderId="1" xfId="0" applyNumberFormat="1" applyFont="1" applyFill="1" applyBorder="1" applyAlignment="1">
      <x:alignment vertical="top" wrapText="1"/>
    </x:xf>
    <x:xf numFmtId="0" fontId="32" fillId="0" borderId="1" xfId="0" applyNumberFormat="1" applyFont="1" applyFill="1" applyBorder="1" applyAlignment="1">
      <x:alignment vertical="top" wrapText="1"/>
    </x:xf>
    <x:xf numFmtId="0" fontId="31" fillId="5" borderId="1" xfId="0" applyNumberFormat="1" applyFont="1" applyFill="1" applyBorder="1" applyAlignment="1">
      <x:alignment vertical="top" wrapText="1"/>
    </x:xf>
    <x:xf numFmtId="0" fontId="32" fillId="5" borderId="1" xfId="0" applyNumberFormat="1" applyFont="1" applyFill="1" applyBorder="1" applyAlignment="1">
      <x:alignment vertical="top" wrapText="1"/>
    </x:xf>
    <x:xf numFmtId="0" fontId="20" fillId="5" borderId="1" xfId="0" applyNumberFormat="1" applyFont="1" applyFill="1" applyBorder="1" applyAlignment="1">
      <x:alignment vertical="top" wrapText="1"/>
    </x:xf>
    <x:xf numFmtId="0" fontId="33" fillId="5" borderId="1" xfId="0" applyNumberFormat="1" applyFont="1" applyFill="1" applyBorder="1" applyAlignment="1">
      <x:alignment vertical="top" wrapText="1"/>
    </x:xf>
    <x:xf numFmtId="201" fontId="32" fillId="0" borderId="1" xfId="0" applyNumberFormat="1" applyFont="1" applyFill="1" applyBorder="1" applyAlignment="1">
      <x:alignment vertical="top" wrapText="1"/>
    </x:xf>
    <x:xf numFmtId="201" fontId="32" fillId="5" borderId="1" xfId="0" applyNumberFormat="1" applyFont="1" applyFill="1" applyBorder="1" applyAlignment="1">
      <x:alignment vertical="top" wrapText="1"/>
    </x:xf>
    <x:xf numFmtId="0" fontId="34" fillId="0" borderId="1" xfId="0" applyNumberFormat="1" applyFont="1" applyFill="1" applyBorder="1" applyAlignment="1">
      <x:alignment vertical="top" wrapText="1"/>
    </x:xf>
    <x:xf numFmtId="202" fontId="32" fillId="0" borderId="1" xfId="0" applyNumberFormat="1" applyFont="1" applyFill="1" applyBorder="1" applyAlignment="1">
      <x:alignment vertical="top" wrapText="1"/>
    </x:xf>
    <x:xf numFmtId="203" fontId="32" fillId="0" borderId="1" xfId="0" applyNumberFormat="1" applyFont="1" applyFill="1" applyBorder="1" applyAlignment="1">
      <x:alignment vertical="top" wrapText="1"/>
    </x:xf>
    <x:xf numFmtId="203" fontId="34" fillId="0" borderId="1" xfId="0" applyNumberFormat="1" applyFont="1" applyFill="1" applyBorder="1" applyAlignment="1">
      <x:alignment vertical="top" wrapText="1"/>
    </x:xf>
    <x:xf numFmtId="202" fontId="34" fillId="0" borderId="1" xfId="0" applyNumberFormat="1" applyFont="1" applyFill="1" applyBorder="1" applyAlignment="1">
      <x:alignment vertical="top" wrapText="1"/>
    </x:xf>
    <x:xf numFmtId="200" fontId="32" fillId="5" borderId="1" xfId="0" applyNumberFormat="1" applyFont="1" applyFill="1" applyBorder="1" applyAlignment="1">
      <x:alignment vertical="top" wrapText="1"/>
    </x:xf>
    <x:xf numFmtId="0" fontId="25" fillId="3" borderId="0" xfId="0" applyNumberFormat="1" applyFont="1" applyFill="1" applyBorder="1" applyAlignment="1">
      <x:alignment horizontal="left" vertical="center" wrapText="1"/>
    </x:xf>
    <x:xf numFmtId="0" fontId="26" fillId="4" borderId="0" xfId="0" applyNumberFormat="1" applyFont="1" applyFill="1" applyBorder="1" applyAlignment="1">
      <x:alignment horizontal="left" vertical="center" wrapText="1"/>
    </x:xf>
    <x:xf numFmtId="0" fontId="27" fillId="6" borderId="0" xfId="0" applyNumberFormat="1" applyFont="1" applyFill="1" applyBorder="1" applyAlignment="1">
      <x:alignment horizontal="center" vertical="center" wrapText="1"/>
    </x:xf>
    <x:xf numFmtId="0" fontId="25" fillId="3" borderId="1" xfId="0" applyNumberFormat="1" applyFont="1" applyFill="1" applyBorder="1" applyAlignment="1">
      <x:alignment horizontal="left" vertical="center" wrapText="1"/>
    </x:xf>
    <x:xf numFmtId="0" fontId="26" fillId="4" borderId="1" xfId="0" applyNumberFormat="1" applyFont="1" applyFill="1" applyBorder="1" applyAlignment="1">
      <x:alignment horizontal="left" vertical="center" wrapText="1"/>
    </x:xf>
    <x:xf numFmtId="0" fontId="27" fillId="6" borderId="1" xfId="0" applyNumberFormat="1" applyFont="1" applyFill="1" applyBorder="1" applyAlignment="1">
      <x:alignment horizontal="center" vertical="center" wrapText="1"/>
    </x:xf>
    <x:xf numFmtId="0" fontId="27" fillId="6" borderId="0" xfId="0" applyNumberFormat="1" applyFont="1" applyFill="1" applyBorder="1"/>
    <x:xf numFmtId="204" fontId="20" fillId="0" borderId="0" xfId="0" applyNumberFormat="1" applyFont="1" applyFill="1" applyBorder="1"/>
    <x:xf numFmtId="202" fontId="20" fillId="0" borderId="0" xfId="0" applyNumberFormat="1" applyFont="1" applyFill="1" applyBorder="1"/>
    <x:xf numFmtId="201" fontId="20" fillId="0" borderId="0" xfId="0" applyNumberFormat="1" applyFont="1" applyFill="1" applyBorder="1"/>
    <x:xf numFmtId="0" fontId="35" fillId="5" borderId="0" xfId="0" applyNumberFormat="1" applyFont="1" applyFill="1" applyBorder="1" applyAlignment="1">
      <x:alignment vertical="center" wrapText="1"/>
    </x:xf>
    <x:xf numFmtId="0" fontId="27" fillId="6" borderId="1" xfId="0" applyNumberFormat="1" applyFont="1" applyFill="1" applyBorder="1"/>
    <x:xf numFmtId="204" fontId="20" fillId="0" borderId="1" xfId="0" applyNumberFormat="1" applyFont="1" applyFill="1" applyBorder="1"/>
    <x:xf numFmtId="202" fontId="20" fillId="0" borderId="1" xfId="0" applyNumberFormat="1" applyFont="1" applyFill="1" applyBorder="1"/>
    <x:xf numFmtId="201" fontId="20" fillId="0" borderId="1" xfId="0" applyNumberFormat="1" applyFont="1" applyFill="1" applyBorder="1"/>
    <x:xf numFmtId="0" fontId="35" fillId="5" borderId="1" xfId="0" applyNumberFormat="1" applyFont="1" applyFill="1" applyBorder="1" applyAlignment="1">
      <x:alignment vertical="center" wrapText="1"/>
    </x:xf>
    <x:xf numFmtId="0" fontId="27" fillId="6" borderId="0" xfId="0" applyNumberFormat="1" applyFont="1" applyFill="1" applyBorder="1" applyAlignment="1">
      <x:alignment wrapText="1"/>
    </x:xf>
    <x:xf numFmtId="204" fontId="20" fillId="0" borderId="0" xfId="0" applyNumberFormat="1" applyFont="1" applyFill="1" applyBorder="1" applyAlignment="1">
      <x:alignment wrapText="1"/>
    </x:xf>
    <x:xf numFmtId="202" fontId="20" fillId="0" borderId="0" xfId="0" applyNumberFormat="1" applyFont="1" applyFill="1" applyBorder="1" applyAlignment="1">
      <x:alignment wrapText="1"/>
    </x:xf>
    <x:xf numFmtId="201" fontId="20" fillId="0" borderId="0" xfId="0" applyNumberFormat="1" applyFont="1" applyFill="1" applyBorder="1" applyAlignment="1">
      <x:alignment wrapText="1"/>
    </x:xf>
    <x:xf numFmtId="0" fontId="27" fillId="6" borderId="1" xfId="0" applyNumberFormat="1" applyFont="1" applyFill="1" applyBorder="1" applyAlignment="1">
      <x:alignment wrapText="1"/>
    </x:xf>
    <x:xf numFmtId="204" fontId="20" fillId="0" borderId="1" xfId="0" applyNumberFormat="1" applyFont="1" applyFill="1" applyBorder="1" applyAlignment="1">
      <x:alignment wrapText="1"/>
    </x:xf>
    <x:xf numFmtId="202" fontId="20" fillId="0" borderId="1" xfId="0" applyNumberFormat="1" applyFont="1" applyFill="1" applyBorder="1" applyAlignment="1">
      <x:alignment wrapText="1"/>
    </x:xf>
    <x:xf numFmtId="201" fontId="20" fillId="0" borderId="1" xfId="0" applyNumberFormat="1" applyFont="1" applyFill="1" applyBorder="1" applyAlignment="1">
      <x:alignment wrapText="1"/>
    </x:xf>
    <x:xf numFmtId="0" fontId="27" fillId="6" borderId="0" xfId="0" applyNumberFormat="1" applyFont="1" applyFill="1" applyBorder="1" applyAlignment="1">
      <x:alignment horizontal="center"/>
    </x:xf>
    <x:xf numFmtId="0" fontId="27" fillId="3" borderId="0" xfId="0" applyNumberFormat="1" applyFont="1" applyFill="1" applyBorder="1"/>
    <x:xf numFmtId="0" fontId="36" fillId="4" borderId="0" xfId="0" applyNumberFormat="1" applyFont="1" applyFill="1" applyBorder="1" applyAlignment="1">
      <x:alignment horizontal="center" wrapText="1"/>
    </x:xf>
    <x:xf numFmtId="0" fontId="27" fillId="6" borderId="1" xfId="0" applyNumberFormat="1" applyFont="1" applyFill="1" applyBorder="1" applyAlignment="1">
      <x:alignment horizontal="center"/>
    </x:xf>
    <x:xf numFmtId="0" fontId="27" fillId="3" borderId="1" xfId="0" applyNumberFormat="1" applyFont="1" applyFill="1" applyBorder="1"/>
    <x:xf numFmtId="0" fontId="36" fillId="4" borderId="1" xfId="0" applyNumberFormat="1" applyFont="1" applyFill="1" applyBorder="1" applyAlignment="1">
      <x:alignment horizontal="center" wrapText="1"/>
    </x:xf>
    <x:xf numFmtId="0" fontId="27" fillId="6" borderId="0" xfId="0" applyNumberFormat="1" applyFont="1" applyFill="1" applyBorder="1" applyAlignment="1">
      <x:alignment horizontal="center" wrapText="1"/>
    </x:xf>
    <x:xf numFmtId="0" fontId="27" fillId="3" borderId="0" xfId="0" applyNumberFormat="1" applyFont="1" applyFill="1" applyBorder="1" applyAlignment="1">
      <x:alignment wrapText="1"/>
    </x:xf>
    <x:xf numFmtId="0" fontId="27" fillId="6" borderId="1" xfId="0" applyNumberFormat="1" applyFont="1" applyFill="1" applyBorder="1" applyAlignment="1">
      <x:alignment horizontal="center" wrapText="1"/>
    </x:xf>
    <x:xf numFmtId="0" fontId="27" fillId="3" borderId="1" xfId="0" applyNumberFormat="1" applyFont="1" applyFill="1" applyBorder="1" applyAlignment="1">
      <x:alignment wrapText="1"/>
    </x:xf>
    <x:xf numFmtId="0" fontId="27" fillId="3" borderId="0" xfId="0" applyNumberFormat="1" applyFont="1" applyFill="1" applyBorder="1" applyAlignment="1">
      <x:alignment horizontal="center"/>
    </x:xf>
    <x:xf numFmtId="0" fontId="20" fillId="0" borderId="0" xfId="0" applyNumberFormat="1" applyFont="1" applyFill="1" applyBorder="1" applyAlignment="1">
      <x:alignment vertical="center"/>
    </x:xf>
    <x:xf numFmtId="0" fontId="20" fillId="0" borderId="4" xfId="0" applyNumberFormat="1" applyFont="1" applyFill="1" applyBorder="1"/>
    <x:xf numFmtId="202" fontId="20" fillId="0" borderId="5" xfId="0" applyNumberFormat="1" applyFont="1" applyFill="1" applyBorder="1"/>
    <x:xf numFmtId="0" fontId="36" fillId="4" borderId="0" xfId="0" applyNumberFormat="1" applyFont="1" applyFill="1" applyBorder="1" applyAlignment="1">
      <x:alignment horizontal="center" vertical="center"/>
    </x:xf>
    <x:xf numFmtId="200" fontId="36" fillId="4" borderId="0" xfId="0" applyNumberFormat="1" applyFont="1" applyFill="1" applyBorder="1" applyAlignment="1">
      <x:alignment horizontal="center" vertical="center"/>
    </x:xf>
    <x:xf numFmtId="0" fontId="20" fillId="0" borderId="6" xfId="0" applyNumberFormat="1" applyFont="1" applyFill="1" applyBorder="1"/>
    <x:xf numFmtId="202" fontId="20" fillId="0" borderId="7" xfId="0" applyNumberFormat="1" applyFont="1" applyFill="1" applyBorder="1"/>
    <x:xf numFmtId="0" fontId="27" fillId="3" borderId="0" xfId="0" applyNumberFormat="1" applyFont="1" applyFill="1" applyBorder="1" applyAlignment="1">
      <x:alignment horizontal="left" vertical="center"/>
    </x:xf>
    <x:xf numFmtId="0" fontId="31" fillId="0" borderId="0" xfId="0" applyNumberFormat="1" applyFont="1" applyFill="1" applyBorder="1" applyAlignment="1">
      <x:alignment vertical="center" wrapText="1"/>
    </x:xf>
    <x:xf numFmtId="202" fontId="20" fillId="0" borderId="0" xfId="0" applyNumberFormat="1" applyFont="1" applyFill="1" applyBorder="1" applyAlignment="1">
      <x:alignment horizontal="right" vertical="center"/>
    </x:xf>
    <x:xf numFmtId="204" fontId="20" fillId="0" borderId="7" xfId="0" applyNumberFormat="1" applyFont="1" applyFill="1" applyBorder="1"/>
    <x:xf numFmtId="204" fontId="29" fillId="5" borderId="0" xfId="0" applyNumberFormat="1" applyFont="1" applyFill="1" applyBorder="1" applyAlignment="1">
      <x:alignment horizontal="right" vertical="center"/>
    </x:xf>
    <x:xf numFmtId="204" fontId="20" fillId="0" borderId="0" xfId="0" applyNumberFormat="1" applyFont="1" applyFill="1" applyBorder="1" applyAlignment="1">
      <x:alignment horizontal="right" vertical="center"/>
    </x:xf>
    <x:xf numFmtId="0" fontId="20" fillId="0" borderId="8" xfId="0" applyNumberFormat="1" applyFont="1" applyFill="1" applyBorder="1"/>
    <x:xf numFmtId="202" fontId="20" fillId="0" borderId="9" xfId="0" applyNumberFormat="1" applyFont="1" applyFill="1" applyBorder="1"/>
    <x:xf numFmtId="0" fontId="20" fillId="0" borderId="0" xfId="0" applyNumberFormat="1" applyFont="1" applyFill="1" applyBorder="1" applyAlignment="1">
      <x:alignment horizontal="right" vertical="center"/>
    </x:xf>
    <x:xf numFmtId="0" fontId="28" fillId="3" borderId="0" xfId="0" applyNumberFormat="1" applyFont="1" applyFill="1" applyBorder="1" applyAlignment="1">
      <x:alignment horizontal="left" vertical="center" wrapText="1"/>
    </x:xf>
    <x:xf numFmtId="0" fontId="27" fillId="3" borderId="0" xfId="0" applyNumberFormat="1" applyFont="1" applyFill="1" applyBorder="1" applyAlignment="1">
      <x:alignment horizontal="right" vertical="center"/>
    </x:xf>
    <x:xf numFmtId="0" fontId="28" fillId="0" borderId="0" xfId="0" applyNumberFormat="1" applyFont="1" applyFill="1" applyBorder="1" applyAlignment="1">
      <x:alignment vertical="center" wrapText="1"/>
    </x:xf>
    <x:xf numFmtId="202" fontId="37" fillId="0" borderId="0" xfId="0" applyNumberFormat="1" applyFont="1" applyFill="1" applyBorder="1" applyAlignment="1">
      <x:alignment horizontal="right" vertical="center"/>
    </x:xf>
    <x:xf numFmtId="0" fontId="28" fillId="0" borderId="2" xfId="0" applyNumberFormat="1" applyFont="1" applyFill="1" applyBorder="1" applyAlignment="1">
      <x:alignment vertical="center" wrapText="1"/>
    </x:xf>
    <x:xf numFmtId="202" fontId="37" fillId="0" borderId="2" xfId="0" applyNumberFormat="1" applyFont="1" applyFill="1" applyBorder="1" applyAlignment="1">
      <x:alignment horizontal="right" vertical="center"/>
    </x:xf>
    <x:xf numFmtId="201" fontId="20" fillId="0" borderId="0" xfId="0" applyNumberFormat="1" applyFont="1" applyFill="1" applyBorder="1" applyAlignment="1">
      <x:alignment horizontal="right" vertical="center"/>
    </x:xf>
    <x:xf numFmtId="0" fontId="28" fillId="4" borderId="0" xfId="0" applyNumberFormat="1" applyFont="1" applyFill="1" applyBorder="1" applyAlignment="1">
      <x:alignment vertical="center" wrapText="1"/>
    </x:xf>
    <x:xf numFmtId="202" fontId="37" fillId="4" borderId="0" xfId="0" applyNumberFormat="1" applyFont="1" applyFill="1" applyBorder="1" applyAlignment="1">
      <x:alignment horizontal="right" vertical="center"/>
    </x:xf>
    <x:xf numFmtId="0" fontId="27" fillId="3" borderId="1" xfId="0" applyNumberFormat="1" applyFont="1" applyFill="1" applyBorder="1" applyAlignment="1">
      <x:alignment horizontal="center"/>
    </x:xf>
    <x:xf numFmtId="0" fontId="20" fillId="0" borderId="1" xfId="0" applyNumberFormat="1" applyFont="1" applyFill="1" applyBorder="1" applyAlignment="1">
      <x:alignment vertical="center"/>
    </x:xf>
    <x:xf numFmtId="0" fontId="20" fillId="0" borderId="10" xfId="0" applyNumberFormat="1" applyFont="1" applyFill="1" applyBorder="1"/>
    <x:xf numFmtId="202" fontId="20" fillId="0" borderId="11" xfId="0" applyNumberFormat="1" applyFont="1" applyFill="1" applyBorder="1"/>
    <x:xf numFmtId="0" fontId="36" fillId="4" borderId="1" xfId="0" applyNumberFormat="1" applyFont="1" applyFill="1" applyBorder="1" applyAlignment="1">
      <x:alignment horizontal="center" vertical="center"/>
    </x:xf>
    <x:xf numFmtId="200" fontId="36" fillId="4" borderId="1" xfId="0" applyNumberFormat="1" applyFont="1" applyFill="1" applyBorder="1" applyAlignment="1">
      <x:alignment horizontal="center" vertical="center"/>
    </x:xf>
    <x:xf numFmtId="0" fontId="20" fillId="0" borderId="12" xfId="0" applyNumberFormat="1" applyFont="1" applyFill="1" applyBorder="1"/>
    <x:xf numFmtId="202" fontId="20" fillId="0" borderId="13" xfId="0" applyNumberFormat="1" applyFont="1" applyFill="1" applyBorder="1"/>
    <x:xf numFmtId="0" fontId="27" fillId="3" borderId="1" xfId="0" applyNumberFormat="1" applyFont="1" applyFill="1" applyBorder="1" applyAlignment="1">
      <x:alignment horizontal="left" vertical="center"/>
    </x:xf>
    <x:xf numFmtId="0" fontId="31" fillId="0" borderId="1" xfId="0" applyNumberFormat="1" applyFont="1" applyFill="1" applyBorder="1" applyAlignment="1">
      <x:alignment vertical="center" wrapText="1"/>
    </x:xf>
    <x:xf numFmtId="202" fontId="20" fillId="0" borderId="1" xfId="0" applyNumberFormat="1" applyFont="1" applyFill="1" applyBorder="1" applyAlignment="1">
      <x:alignment horizontal="right" vertical="center"/>
    </x:xf>
    <x:xf numFmtId="204" fontId="20" fillId="0" borderId="13" xfId="0" applyNumberFormat="1" applyFont="1" applyFill="1" applyBorder="1"/>
    <x:xf numFmtId="204" fontId="29" fillId="5" borderId="1" xfId="0" applyNumberFormat="1" applyFont="1" applyFill="1" applyBorder="1" applyAlignment="1">
      <x:alignment horizontal="right" vertical="center"/>
    </x:xf>
    <x:xf numFmtId="204" fontId="20" fillId="0" borderId="1" xfId="0" applyNumberFormat="1" applyFont="1" applyFill="1" applyBorder="1" applyAlignment="1">
      <x:alignment horizontal="right" vertical="center"/>
    </x:xf>
    <x:xf numFmtId="0" fontId="20" fillId="0" borderId="14" xfId="0" applyNumberFormat="1" applyFont="1" applyFill="1" applyBorder="1"/>
    <x:xf numFmtId="202" fontId="20" fillId="0" borderId="15" xfId="0" applyNumberFormat="1" applyFont="1" applyFill="1" applyBorder="1"/>
    <x:xf numFmtId="0" fontId="20" fillId="0" borderId="1" xfId="0" applyNumberFormat="1" applyFont="1" applyFill="1" applyBorder="1" applyAlignment="1">
      <x:alignment horizontal="right" vertical="center"/>
    </x:xf>
    <x:xf numFmtId="0" fontId="28" fillId="3" borderId="1" xfId="0" applyNumberFormat="1" applyFont="1" applyFill="1" applyBorder="1" applyAlignment="1">
      <x:alignment horizontal="left" vertical="center" wrapText="1"/>
    </x:xf>
    <x:xf numFmtId="0" fontId="27" fillId="3" borderId="1" xfId="0" applyNumberFormat="1" applyFont="1" applyFill="1" applyBorder="1" applyAlignment="1">
      <x:alignment horizontal="right" vertical="center"/>
    </x:xf>
    <x:xf numFmtId="0" fontId="28" fillId="0" borderId="1" xfId="0" applyNumberFormat="1" applyFont="1" applyFill="1" applyBorder="1" applyAlignment="1">
      <x:alignment vertical="center" wrapText="1"/>
    </x:xf>
    <x:xf numFmtId="202" fontId="37" fillId="0" borderId="1" xfId="0" applyNumberFormat="1" applyFont="1" applyFill="1" applyBorder="1" applyAlignment="1">
      <x:alignment horizontal="right" vertical="center"/>
    </x:xf>
    <x:xf numFmtId="0" fontId="28" fillId="0" borderId="3" xfId="0" applyNumberFormat="1" applyFont="1" applyFill="1" applyBorder="1" applyAlignment="1">
      <x:alignment vertical="center" wrapText="1"/>
    </x:xf>
    <x:xf numFmtId="202" fontId="37" fillId="0" borderId="3" xfId="0" applyNumberFormat="1" applyFont="1" applyFill="1" applyBorder="1" applyAlignment="1">
      <x:alignment horizontal="right" vertical="center"/>
    </x:xf>
    <x:xf numFmtId="201" fontId="20" fillId="0" borderId="1" xfId="0" applyNumberFormat="1" applyFont="1" applyFill="1" applyBorder="1" applyAlignment="1">
      <x:alignment horizontal="right" vertical="center"/>
    </x:xf>
    <x:xf numFmtId="0" fontId="28" fillId="4" borderId="1" xfId="0" applyNumberFormat="1" applyFont="1" applyFill="1" applyBorder="1" applyAlignment="1">
      <x:alignment vertical="center" wrapText="1"/>
    </x:xf>
    <x:xf numFmtId="202" fontId="37" fillId="4" borderId="1" xfId="0" applyNumberFormat="1" applyFont="1" applyFill="1" applyBorder="1" applyAlignment="1">
      <x:alignment horizontal="right" vertical="center"/>
    </x:xf>
    <x:xf numFmtId="0" fontId="27" fillId="3" borderId="0" xfId="0" applyNumberFormat="1" applyFont="1" applyFill="1" applyBorder="1" applyAlignment="1">
      <x:alignment horizontal="center" wrapText="1"/>
    </x:xf>
    <x:xf numFmtId="0" fontId="20" fillId="0" borderId="0" xfId="0" applyNumberFormat="1" applyFont="1" applyFill="1" applyBorder="1" applyAlignment="1">
      <x:alignment vertical="center" wrapText="1"/>
    </x:xf>
    <x:xf numFmtId="0" fontId="20" fillId="0" borderId="4" xfId="0" applyNumberFormat="1" applyFont="1" applyFill="1" applyBorder="1" applyAlignment="1">
      <x:alignment wrapText="1"/>
    </x:xf>
    <x:xf numFmtId="202" fontId="20" fillId="0" borderId="5" xfId="0" applyNumberFormat="1" applyFont="1" applyFill="1" applyBorder="1" applyAlignment="1">
      <x:alignment wrapText="1"/>
    </x:xf>
    <x:xf numFmtId="0" fontId="36" fillId="4" borderId="0" xfId="0" applyNumberFormat="1" applyFont="1" applyFill="1" applyBorder="1" applyAlignment="1">
      <x:alignment horizontal="center" vertical="center" wrapText="1"/>
    </x:xf>
    <x:xf numFmtId="200" fontId="36" fillId="4" borderId="0" xfId="0" applyNumberFormat="1" applyFont="1" applyFill="1" applyBorder="1" applyAlignment="1">
      <x:alignment horizontal="center" vertical="center" wrapText="1"/>
    </x:xf>
    <x:xf numFmtId="0" fontId="20" fillId="0" borderId="6" xfId="0" applyNumberFormat="1" applyFont="1" applyFill="1" applyBorder="1" applyAlignment="1">
      <x:alignment wrapText="1"/>
    </x:xf>
    <x:xf numFmtId="202" fontId="20" fillId="0" borderId="7" xfId="0" applyNumberFormat="1" applyFont="1" applyFill="1" applyBorder="1" applyAlignment="1">
      <x:alignment wrapText="1"/>
    </x:xf>
    <x:xf numFmtId="0" fontId="27" fillId="3" borderId="0" xfId="0" applyNumberFormat="1" applyFont="1" applyFill="1" applyBorder="1" applyAlignment="1">
      <x:alignment horizontal="left" vertical="center" wrapText="1"/>
    </x:xf>
    <x:xf numFmtId="202" fontId="20" fillId="0" borderId="0" xfId="0" applyNumberFormat="1" applyFont="1" applyFill="1" applyBorder="1" applyAlignment="1">
      <x:alignment horizontal="right" vertical="center" wrapText="1"/>
    </x:xf>
    <x:xf numFmtId="204" fontId="20" fillId="0" borderId="7" xfId="0" applyNumberFormat="1" applyFont="1" applyFill="1" applyBorder="1" applyAlignment="1">
      <x:alignment wrapText="1"/>
    </x:xf>
    <x:xf numFmtId="204" fontId="29" fillId="5" borderId="0" xfId="0" applyNumberFormat="1" applyFont="1" applyFill="1" applyBorder="1" applyAlignment="1">
      <x:alignment horizontal="right" vertical="center" wrapText="1"/>
    </x:xf>
    <x:xf numFmtId="204" fontId="20" fillId="0" borderId="0" xfId="0" applyNumberFormat="1" applyFont="1" applyFill="1" applyBorder="1" applyAlignment="1">
      <x:alignment horizontal="right" vertical="center" wrapText="1"/>
    </x:xf>
    <x:xf numFmtId="0" fontId="20" fillId="0" borderId="8" xfId="0" applyNumberFormat="1" applyFont="1" applyFill="1" applyBorder="1" applyAlignment="1">
      <x:alignment wrapText="1"/>
    </x:xf>
    <x:xf numFmtId="202" fontId="20" fillId="0" borderId="9" xfId="0" applyNumberFormat="1" applyFont="1" applyFill="1" applyBorder="1" applyAlignment="1">
      <x:alignment wrapText="1"/>
    </x:xf>
    <x:xf numFmtId="0" fontId="20" fillId="0" borderId="0" xfId="0" applyNumberFormat="1" applyFont="1" applyFill="1" applyBorder="1" applyAlignment="1">
      <x:alignment horizontal="right" vertical="center" wrapText="1"/>
    </x:xf>
    <x:xf numFmtId="0" fontId="27" fillId="3" borderId="0" xfId="0" applyNumberFormat="1" applyFont="1" applyFill="1" applyBorder="1" applyAlignment="1">
      <x:alignment horizontal="right" vertical="center" wrapText="1"/>
    </x:xf>
    <x:xf numFmtId="202" fontId="37" fillId="0" borderId="0" xfId="0" applyNumberFormat="1" applyFont="1" applyFill="1" applyBorder="1" applyAlignment="1">
      <x:alignment horizontal="right" vertical="center" wrapText="1"/>
    </x:xf>
    <x:xf numFmtId="202" fontId="37" fillId="0" borderId="2" xfId="0" applyNumberFormat="1" applyFont="1" applyFill="1" applyBorder="1" applyAlignment="1">
      <x:alignment horizontal="right" vertical="center" wrapText="1"/>
    </x:xf>
    <x:xf numFmtId="201" fontId="20" fillId="0" borderId="0" xfId="0" applyNumberFormat="1" applyFont="1" applyFill="1" applyBorder="1" applyAlignment="1">
      <x:alignment horizontal="right" vertical="center" wrapText="1"/>
    </x:xf>
    <x:xf numFmtId="202" fontId="37" fillId="4" borderId="0" xfId="0" applyNumberFormat="1" applyFont="1" applyFill="1" applyBorder="1" applyAlignment="1">
      <x:alignment horizontal="right" vertical="center" wrapText="1"/>
    </x:xf>
    <x:xf numFmtId="0" fontId="27" fillId="3" borderId="1" xfId="0" applyNumberFormat="1" applyFont="1" applyFill="1" applyBorder="1" applyAlignment="1">
      <x:alignment horizontal="center" wrapText="1"/>
    </x:xf>
    <x:xf numFmtId="0" fontId="20" fillId="0" borderId="1" xfId="0" applyNumberFormat="1" applyFont="1" applyFill="1" applyBorder="1" applyAlignment="1">
      <x:alignment vertical="center" wrapText="1"/>
    </x:xf>
    <x:xf numFmtId="0" fontId="20" fillId="0" borderId="10" xfId="0" applyNumberFormat="1" applyFont="1" applyFill="1" applyBorder="1" applyAlignment="1">
      <x:alignment wrapText="1"/>
    </x:xf>
    <x:xf numFmtId="202" fontId="20" fillId="0" borderId="11" xfId="0" applyNumberFormat="1" applyFont="1" applyFill="1" applyBorder="1" applyAlignment="1">
      <x:alignment wrapText="1"/>
    </x:xf>
    <x:xf numFmtId="0" fontId="36" fillId="4" borderId="1" xfId="0" applyNumberFormat="1" applyFont="1" applyFill="1" applyBorder="1" applyAlignment="1">
      <x:alignment horizontal="center" vertical="center" wrapText="1"/>
    </x:xf>
    <x:xf numFmtId="200" fontId="36" fillId="4" borderId="1" xfId="0" applyNumberFormat="1" applyFont="1" applyFill="1" applyBorder="1" applyAlignment="1">
      <x:alignment horizontal="center" vertical="center" wrapText="1"/>
    </x:xf>
    <x:xf numFmtId="0" fontId="20" fillId="0" borderId="12" xfId="0" applyNumberFormat="1" applyFont="1" applyFill="1" applyBorder="1" applyAlignment="1">
      <x:alignment wrapText="1"/>
    </x:xf>
    <x:xf numFmtId="202" fontId="20" fillId="0" borderId="13" xfId="0" applyNumberFormat="1" applyFont="1" applyFill="1" applyBorder="1" applyAlignment="1">
      <x:alignment wrapText="1"/>
    </x:xf>
    <x:xf numFmtId="0" fontId="27" fillId="3" borderId="1" xfId="0" applyNumberFormat="1" applyFont="1" applyFill="1" applyBorder="1" applyAlignment="1">
      <x:alignment horizontal="left" vertical="center" wrapText="1"/>
    </x:xf>
    <x:xf numFmtId="202" fontId="20" fillId="0" borderId="1" xfId="0" applyNumberFormat="1" applyFont="1" applyFill="1" applyBorder="1" applyAlignment="1">
      <x:alignment horizontal="right" vertical="center" wrapText="1"/>
    </x:xf>
    <x:xf numFmtId="204" fontId="20" fillId="0" borderId="13" xfId="0" applyNumberFormat="1" applyFont="1" applyFill="1" applyBorder="1" applyAlignment="1">
      <x:alignment wrapText="1"/>
    </x:xf>
    <x:xf numFmtId="204" fontId="29" fillId="5" borderId="1" xfId="0" applyNumberFormat="1" applyFont="1" applyFill="1" applyBorder="1" applyAlignment="1">
      <x:alignment horizontal="right" vertical="center" wrapText="1"/>
    </x:xf>
    <x:xf numFmtId="204" fontId="20" fillId="0" borderId="1" xfId="0" applyNumberFormat="1" applyFont="1" applyFill="1" applyBorder="1" applyAlignment="1">
      <x:alignment horizontal="right" vertical="center" wrapText="1"/>
    </x:xf>
    <x:xf numFmtId="0" fontId="20" fillId="0" borderId="14" xfId="0" applyNumberFormat="1" applyFont="1" applyFill="1" applyBorder="1" applyAlignment="1">
      <x:alignment wrapText="1"/>
    </x:xf>
    <x:xf numFmtId="202" fontId="20" fillId="0" borderId="15" xfId="0" applyNumberFormat="1" applyFont="1" applyFill="1" applyBorder="1" applyAlignment="1">
      <x:alignment wrapText="1"/>
    </x:xf>
    <x:xf numFmtId="0" fontId="20" fillId="0" borderId="1" xfId="0" applyNumberFormat="1" applyFont="1" applyFill="1" applyBorder="1" applyAlignment="1">
      <x:alignment horizontal="right" vertical="center" wrapText="1"/>
    </x:xf>
    <x:xf numFmtId="0" fontId="27" fillId="3" borderId="1" xfId="0" applyNumberFormat="1" applyFont="1" applyFill="1" applyBorder="1" applyAlignment="1">
      <x:alignment horizontal="right" vertical="center" wrapText="1"/>
    </x:xf>
    <x:xf numFmtId="202" fontId="37" fillId="0" borderId="1" xfId="0" applyNumberFormat="1" applyFont="1" applyFill="1" applyBorder="1" applyAlignment="1">
      <x:alignment horizontal="right" vertical="center" wrapText="1"/>
    </x:xf>
    <x:xf numFmtId="202" fontId="37" fillId="0" borderId="3" xfId="0" applyNumberFormat="1" applyFont="1" applyFill="1" applyBorder="1" applyAlignment="1">
      <x:alignment horizontal="right" vertical="center" wrapText="1"/>
    </x:xf>
    <x:xf numFmtId="201" fontId="20" fillId="0" borderId="1" xfId="0" applyNumberFormat="1" applyFont="1" applyFill="1" applyBorder="1" applyAlignment="1">
      <x:alignment horizontal="right" vertical="center" wrapText="1"/>
    </x:xf>
    <x:xf numFmtId="202" fontId="37" fillId="4" borderId="1" xfId="0" applyNumberFormat="1" applyFont="1" applyFill="1" applyBorder="1" applyAlignment="1">
      <x:alignment horizontal="right" vertical="center" wrapText="1"/>
    </x:xf>
    <x:xf numFmtId="200" fontId="20" fillId="0" borderId="0" xfId="0" applyNumberFormat="1" applyFont="1" applyFill="1" applyBorder="1"/>
    <x:xf numFmtId="200" fontId="20" fillId="0" borderId="1" xfId="0" applyNumberFormat="1" applyFont="1" applyFill="1" applyBorder="1"/>
    <x:xf numFmtId="200" fontId="20" fillId="0" borderId="0" xfId="0" applyNumberFormat="1" applyFont="1" applyFill="1" applyBorder="1" applyAlignment="1">
      <x:alignment wrapText="1"/>
    </x:xf>
    <x:xf numFmtId="200" fontId="20" fillId="0" borderId="1" xfId="0" applyNumberFormat="1" applyFont="1" applyFill="1" applyBorder="1" applyAlignment="1">
      <x:alignment wrapText="1"/>
    </x:xf>
    <x:xf numFmtId="205" fontId="20" fillId="0" borderId="0" xfId="0" applyNumberFormat="1" applyFont="1" applyFill="1" applyBorder="1"/>
    <x:xf numFmtId="205" fontId="20" fillId="0" borderId="1" xfId="0" applyNumberFormat="1" applyFont="1" applyFill="1" applyBorder="1"/>
    <x:xf numFmtId="205" fontId="20" fillId="0" borderId="0" xfId="0" applyNumberFormat="1" applyFont="1" applyFill="1" applyBorder="1" applyAlignment="1">
      <x:alignment wrapText="1"/>
    </x:xf>
    <x:xf numFmtId="0" fontId="0" fillId="0" borderId="0" xfId="0" applyNumberFormat="1" applyFont="1" applyFill="1" applyBorder="1"/>
    <x:xf numFmtId="0" fontId="20" fillId="7" borderId="0" xfId="0" applyNumberFormat="1" applyFont="1" applyFill="1" applyBorder="1" applyAlignment="1">
      <x:alignment wrapText="1"/>
    </x:xf>
    <x:xf numFmtId="0" fontId="27" fillId="7" borderId="0" xfId="0" applyNumberFormat="1" applyFont="1" applyFill="1" applyBorder="1" applyAlignment="1">
      <x:alignment wrapText="1"/>
    </x:xf>
    <x:xf numFmtId="0" fontId="32" fillId="0" borderId="0" xfId="0" applyNumberFormat="1" applyFont="1" applyFill="1" applyBorder="1" applyAlignment="1">
      <x:alignment wrapText="1"/>
    </x:xf>
    <x:xf numFmtId="0" fontId="10" fillId="0" borderId="0" xfId="0" applyNumberFormat="1" applyFont="1" applyFill="1" applyBorder="1"/>
    <x:xf numFmtId="0" fontId="32" fillId="8" borderId="0" xfId="0" applyNumberFormat="1" applyFont="1" applyFill="1" applyBorder="1" applyAlignment="1">
      <x:alignment wrapText="1"/>
    </x:xf>
    <x:xf numFmtId="0" fontId="10" fillId="8" borderId="0" xfId="0" applyNumberFormat="1" applyFont="1" applyFill="1" applyBorder="1"/>
    <x:xf numFmtId="201" fontId="32" fillId="8" borderId="0" xfId="0" applyNumberFormat="1" applyFont="1" applyFill="1" applyBorder="1" applyAlignment="1">
      <x:alignment wrapText="1"/>
    </x:xf>
    <x:xf numFmtId="206" fontId="32" fillId="8" borderId="0" xfId="0" applyNumberFormat="1" applyFont="1" applyFill="1" applyBorder="1" applyAlignment="1">
      <x:alignment wrapText="1"/>
    </x:xf>
    <x:xf numFmtId="203" fontId="32" fillId="8" borderId="0" xfId="0" applyNumberFormat="1" applyFont="1" applyFill="1" applyBorder="1" applyAlignment="1">
      <x:alignment wrapText="1"/>
    </x:xf>
    <x:xf numFmtId="207" fontId="32" fillId="8" borderId="0" xfId="0" applyNumberFormat="1" applyFont="1" applyFill="1" applyBorder="1" applyAlignment="1">
      <x:alignment wrapText="1"/>
    </x:xf>
    <x:xf numFmtId="207" fontId="10" fillId="8" borderId="0" xfId="0" applyNumberFormat="1" applyFont="1" applyFill="1" applyBorder="1"/>
    <x:xf numFmtId="207" fontId="10" fillId="8" borderId="0" xfId="0" applyNumberFormat="1" applyFont="1" applyFill="1" applyBorder="1" applyAlignment="1">
      <x:alignment wrapText="1"/>
    </x:xf>
    <x:xf numFmtId="0" fontId="0" fillId="7" borderId="0" xfId="0" applyNumberFormat="1" applyFont="1" applyFill="1" applyBorder="1"/>
    <x:xf numFmtId="0" fontId="38" fillId="7" borderId="0" xfId="0" applyNumberFormat="1" applyFont="1" applyFill="1" applyBorder="1"/>
    <x:xf numFmtId="0" fontId="0" fillId="9" borderId="0" xfId="0" applyNumberFormat="1" applyFont="1" applyFill="1" applyBorder="1"/>
    <x:xf numFmtId="0" fontId="39" fillId="9" borderId="0" xfId="0" applyNumberFormat="1" applyFont="1" applyFill="1" applyBorder="1"/>
    <x:xf numFmtId="0" fontId="39" fillId="9" borderId="0" xfId="0" applyNumberFormat="1" applyFont="1" applyFill="1" applyBorder="1" applyAlignment="1">
      <x:alignment wrapText="1"/>
    </x:xf>
    <x:xf numFmtId="0" fontId="0" fillId="10" borderId="0" xfId="0" applyNumberFormat="1" applyFont="1" applyFill="1" applyBorder="1"/>
    <x:xf numFmtId="200" fontId="0" fillId="10" borderId="0" xfId="0" applyNumberFormat="1" applyFont="1" applyFill="1" applyBorder="1"/>
    <x:xf numFmtId="0" fontId="40" fillId="10" borderId="0" xfId="0" applyNumberFormat="1" applyFont="1" applyFill="1" applyBorder="1"/>
    <x:xf numFmtId="200" fontId="40" fillId="10" borderId="0" xfId="0" applyNumberFormat="1" applyFont="1" applyFill="1" applyBorder="1"/>
    <x:xf numFmtId="0" fontId="40" fillId="10" borderId="0" xfId="0" applyNumberFormat="1" applyFont="1" applyFill="1" applyBorder="1" applyAlignment="1">
      <x:alignment horizontal="center"/>
    </x:xf>
    <x:xf numFmtId="200" fontId="40" fillId="10" borderId="0" xfId="0" applyNumberFormat="1" applyFont="1" applyFill="1" applyBorder="1" applyAlignment="1">
      <x:alignment horizontal="center"/>
    </x:xf>
    <x:xf numFmtId="0" fontId="8" fillId="7" borderId="0" xfId="0" applyNumberFormat="1" applyFont="1" applyFill="1" applyBorder="1"/>
    <x:xf numFmtId="202" fontId="0" fillId="10" borderId="0" xfId="0" applyNumberFormat="1" applyFont="1" applyFill="1" applyBorder="1"/>
    <x:xf numFmtId="202" fontId="40" fillId="10" borderId="0" xfId="0" applyNumberFormat="1" applyFont="1" applyFill="1" applyBorder="1"/>
    <x:xf numFmtId="0" fontId="40" fillId="10" borderId="16" xfId="0" applyNumberFormat="1" applyFont="1" applyFill="1" applyBorder="1"/>
    <x:xf numFmtId="202" fontId="40" fillId="10" borderId="16" xfId="0" applyNumberFormat="1" applyFont="1" applyFill="1" applyBorder="1"/>
    <x:xf numFmtId="0" fontId="0" fillId="11" borderId="0" xfId="0" applyNumberFormat="1" applyFont="1" applyFill="1" applyBorder="1"/>
    <x:xf numFmtId="0" fontId="40" fillId="11" borderId="0" xfId="0" applyNumberFormat="1" applyFont="1" applyFill="1" applyBorder="1"/>
    <x:xf numFmtId="0" fontId="38" fillId="7" borderId="0" xfId="0" applyNumberFormat="1" applyFont="1" applyFill="1" applyBorder="1" applyAlignment="1">
      <x:alignment wrapText="1"/>
    </x:xf>
    <x:xf numFmtId="0" fontId="40" fillId="10" borderId="0" xfId="0" applyNumberFormat="1" applyFont="1" applyFill="1" applyBorder="1" applyAlignment="1">
      <x:alignment horizontal="center" wrapText="1"/>
    </x:xf>
    <x:xf numFmtId="200" fontId="40" fillId="10" borderId="0" xfId="0" applyNumberFormat="1" applyFont="1" applyFill="1" applyBorder="1" applyAlignment="1">
      <x:alignment horizontal="center" wrapText="1"/>
    </x:xf>
    <x:xf numFmtId="0" fontId="8" fillId="7" borderId="0" xfId="0" applyNumberFormat="1" applyFont="1" applyFill="1" applyBorder="1" applyAlignment="1">
      <x:alignment wrapText="1"/>
    </x:xf>
    <x:xf numFmtId="204" fontId="0" fillId="0" borderId="0" xfId="0" applyNumberFormat="1" applyFont="1" applyFill="1" applyBorder="1" applyAlignment="1">
      <x:alignment wrapText="1"/>
    </x:xf>
    <x:xf numFmtId="202" fontId="0" fillId="0" borderId="0" xfId="0" applyNumberFormat="1" applyFont="1" applyFill="1" applyBorder="1" applyAlignment="1">
      <x:alignment wrapText="1"/>
    </x:xf>
    <x:xf numFmtId="0" fontId="40" fillId="10" borderId="16" xfId="0" applyNumberFormat="1" applyFont="1" applyFill="1" applyBorder="1" applyAlignment="1">
      <x:alignment wrapText="1"/>
    </x:xf>
    <x:xf numFmtId="202" fontId="40" fillId="10" borderId="16" xfId="0" applyNumberFormat="1" applyFont="1" applyFill="1" applyBorder="1" applyAlignment="1">
      <x:alignment wrapText="1"/>
    </x:xf>
    <x:xf numFmtId="0" fontId="40" fillId="11" borderId="0" xfId="0" applyNumberFormat="1" applyFont="1" applyFill="1" applyBorder="1" applyAlignment="1">
      <x:alignment wrapText="1"/>
    </x:xf>
    <x:xf numFmtId="0" fontId="0" fillId="0" borderId="16" xfId="0" applyNumberFormat="1" applyFont="1" applyFill="1" applyBorder="1"/>
    <x:xf numFmtId="202" fontId="0" fillId="0" borderId="16" xfId="0" applyNumberFormat="1" applyFont="1" applyFill="1" applyBorder="1"/>
    <x:xf numFmtId="0" fontId="15" fillId="0" borderId="16" xfId="0" applyNumberFormat="1" applyFont="1" applyFill="1" applyBorder="1"/>
    <x:xf numFmtId="202" fontId="15" fillId="0" borderId="16" xfId="0" applyNumberFormat="1" applyFont="1" applyFill="1" applyBorder="1"/>
    <x:xf numFmtId="0" fontId="15" fillId="0" borderId="16" xfId="0" applyNumberFormat="1" applyFont="1" applyFill="1" applyBorder="1" applyAlignment="1">
      <x:alignment wrapText="1"/>
    </x:xf>
    <x:xf numFmtId="202" fontId="15" fillId="0" borderId="16" xfId="0" applyNumberFormat="1" applyFont="1" applyFill="1" applyBorder="1" applyAlignment="1">
      <x:alignment wrapText="1"/>
    </x:xf>
    <x:xf numFmtId="201" fontId="0" fillId="0" borderId="0" xfId="0" applyNumberFormat="1" applyFont="1" applyFill="1" applyBorder="1" applyAlignment="1">
      <x:alignment wrapText="1"/>
    </x:xf>
    <x:xf numFmtId="0" fontId="0" fillId="0" borderId="16" xfId="0" applyNumberFormat="1" applyFont="1" applyFill="1" applyBorder="1" applyAlignment="1">
      <x:alignment wrapText="1"/>
    </x:xf>
    <x:xf numFmtId="202" fontId="0" fillId="0" borderId="16" xfId="0" applyNumberFormat="1" applyFont="1" applyFill="1" applyBorder="1" applyAlignment="1">
      <x:alignment wrapText="1"/>
    </x:xf>
    <x:xf numFmtId="0" fontId="40" fillId="10" borderId="0" xfId="0" applyNumberFormat="1" applyFont="1" applyFill="1" applyBorder="1" applyAlignment="1">
      <x:alignment wrapText="1"/>
    </x:xf>
    <x:xf numFmtId="202" fontId="40" fillId="10" borderId="0" xfId="0" applyNumberFormat="1" applyFont="1" applyFill="1" applyBorder="1" applyAlignment="1">
      <x:alignment wrapText="1"/>
    </x:xf>
    <x:xf numFmtId="0" fontId="40" fillId="11" borderId="0" xfId="0" applyNumberFormat="1" applyFont="1" applyFill="1" applyBorder="1" applyAlignment="1">
      <x:alignment horizontal="center"/>
    </x:xf>
    <x:xf numFmtId="0" fontId="40" fillId="11" borderId="0" xfId="0" applyNumberFormat="1" applyFont="1" applyFill="1" applyBorder="1" applyAlignment="1">
      <x:alignment horizontal="center" wrapText="1"/>
    </x:xf>
    <x:xf numFmtId="200" fontId="0" fillId="0" borderId="0" xfId="0" applyNumberFormat="1" applyFont="1" applyFill="1" applyBorder="1" applyAlignment="1">
      <x:alignment wrapText="1"/>
    </x:xf>
    <x:xf numFmtId="0" fontId="25" fillId="7" borderId="0" xfId="0" applyNumberFormat="1" applyFont="1" applyFill="1" applyBorder="1" applyAlignment="1">
      <x:alignment horizontal="left" vertical="center" wrapText="1"/>
    </x:xf>
    <x:xf numFmtId="0" fontId="41" fillId="7" borderId="0" xfId="0" applyNumberFormat="1" applyFont="1" applyFill="1" applyBorder="1" applyAlignment="1">
      <x:alignment horizontal="left" vertical="center" wrapText="1"/>
    </x:xf>
    <x:xf numFmtId="0" fontId="41" fillId="7" borderId="0" xfId="0" applyNumberFormat="1" applyFont="1" applyFill="1" applyBorder="1" applyAlignment="1">
      <x:alignment wrapText="1"/>
    </x:xf>
    <x:xf numFmtId="0" fontId="26" fillId="9" borderId="0" xfId="0" applyNumberFormat="1" applyFont="1" applyFill="1" applyBorder="1" applyAlignment="1">
      <x:alignment horizontal="left" vertical="center" wrapText="1"/>
    </x:xf>
    <x:xf numFmtId="0" fontId="20" fillId="9" borderId="0" xfId="0" applyNumberFormat="1" applyFont="1" applyFill="1" applyBorder="1" applyAlignment="1">
      <x:alignment wrapText="1"/>
    </x:xf>
    <x:xf numFmtId="0" fontId="42" fillId="9" borderId="0" xfId="0" applyNumberFormat="1" applyFont="1" applyFill="1" applyBorder="1" applyAlignment="1">
      <x:alignment horizontal="left" vertical="center" wrapText="1"/>
    </x:xf>
    <x:xf numFmtId="0" fontId="43" fillId="9" borderId="0" xfId="0" applyNumberFormat="1" applyFont="1" applyFill="1" applyBorder="1" applyAlignment="1">
      <x:alignment wrapText="1"/>
    </x:xf>
    <x:xf numFmtId="0" fontId="20" fillId="11" borderId="0" xfId="0" applyNumberFormat="1" applyFont="1" applyFill="1" applyBorder="1" applyAlignment="1">
      <x:alignment wrapText="1"/>
    </x:xf>
    <x:xf numFmtId="202" fontId="20" fillId="11" borderId="0" xfId="0" applyNumberFormat="1" applyFont="1" applyFill="1" applyBorder="1" applyAlignment="1">
      <x:alignment wrapText="1"/>
    </x:xf>
    <x:xf numFmtId="0" fontId="44" fillId="11" borderId="0" xfId="0" applyNumberFormat="1" applyFont="1" applyFill="1" applyBorder="1" applyAlignment="1">
      <x:alignment wrapText="1"/>
    </x:xf>
    <x:xf numFmtId="202" fontId="44" fillId="11" borderId="0" xfId="0" applyNumberFormat="1" applyFont="1" applyFill="1" applyBorder="1" applyAlignment="1">
      <x:alignment wrapText="1"/>
    </x:xf>
    <x:xf numFmtId="0" fontId="44" fillId="11" borderId="0" xfId="0" applyNumberFormat="1" applyFont="1" applyFill="1" applyBorder="1" applyAlignment="1">
      <x:alignment horizontal="center" wrapText="1"/>
    </x:xf>
    <x:xf numFmtId="202" fontId="44" fillId="11" borderId="0" xfId="0" applyNumberFormat="1" applyFont="1" applyFill="1" applyBorder="1" applyAlignment="1">
      <x:alignment horizontal="center" wrapText="1"/>
    </x:xf>
    <x:xf numFmtId="202" fontId="27" fillId="3" borderId="0" xfId="0" applyNumberFormat="1" applyFont="1" applyFill="1" applyBorder="1" applyAlignment="1">
      <x:alignment wrapText="1"/>
    </x:xf>
    <x:xf numFmtId="204" fontId="20" fillId="7" borderId="0" xfId="0" applyNumberFormat="1" applyFont="1" applyFill="1" applyBorder="1" applyAlignment="1">
      <x:alignment wrapText="1"/>
    </x:xf>
    <x:xf numFmtId="202" fontId="20" fillId="7" borderId="0" xfId="0" applyNumberFormat="1" applyFont="1" applyFill="1" applyBorder="1" applyAlignment="1">
      <x:alignment wrapText="1"/>
    </x:xf>
    <x:xf numFmtId="204" fontId="27" fillId="7" borderId="0" xfId="0" applyNumberFormat="1" applyFont="1" applyFill="1" applyBorder="1" applyAlignment="1">
      <x:alignment wrapText="1"/>
    </x:xf>
    <x:xf numFmtId="202" fontId="27" fillId="7" borderId="0" xfId="0" applyNumberFormat="1" applyFont="1" applyFill="1" applyBorder="1" applyAlignment="1">
      <x:alignment wrapText="1"/>
    </x:xf>
    <x:xf numFmtId="204" fontId="20" fillId="10" borderId="0" xfId="0" applyNumberFormat="1" applyFont="1" applyFill="1" applyBorder="1" applyAlignment="1">
      <x:alignment wrapText="1"/>
    </x:xf>
    <x:xf numFmtId="202" fontId="20" fillId="10" borderId="0" xfId="0" applyNumberFormat="1" applyFont="1" applyFill="1" applyBorder="1" applyAlignment="1">
      <x:alignment wrapText="1"/>
    </x:xf>
    <x:xf numFmtId="0" fontId="20" fillId="10" borderId="0" xfId="0" applyNumberFormat="1" applyFont="1" applyFill="1" applyBorder="1" applyAlignment="1">
      <x:alignment wrapText="1"/>
    </x:xf>
    <x:xf numFmtId="204" fontId="45" fillId="10" borderId="0" xfId="0" applyNumberFormat="1" applyFont="1" applyFill="1" applyBorder="1" applyAlignment="1">
      <x:alignment wrapText="1"/>
    </x:xf>
    <x:xf numFmtId="202" fontId="45" fillId="10" borderId="0" xfId="0" applyNumberFormat="1" applyFont="1" applyFill="1" applyBorder="1" applyAlignment="1">
      <x:alignment wrapText="1"/>
    </x:xf>
    <x:xf numFmtId="0" fontId="45" fillId="10" borderId="0" xfId="0" applyNumberFormat="1" applyFont="1" applyFill="1" applyBorder="1" applyAlignment="1">
      <x:alignment wrapText="1"/>
    </x:xf>
    <x:xf numFmtId="204" fontId="45" fillId="10" borderId="0" xfId="0" applyNumberFormat="1" applyFont="1" applyFill="1" applyBorder="1" applyAlignment="1">
      <x:alignment vertical="center" wrapText="1"/>
    </x:xf>
    <x:xf numFmtId="202" fontId="45" fillId="10" borderId="0" xfId="0" applyNumberFormat="1" applyFont="1" applyFill="1" applyBorder="1" applyAlignment="1">
      <x:alignment vertical="center" wrapText="1"/>
    </x:xf>
    <x:xf numFmtId="0" fontId="45" fillId="10" borderId="0" xfId="0" applyNumberFormat="1" applyFont="1" applyFill="1" applyBorder="1" applyAlignment="1">
      <x:alignment vertical="center" wrapText="1"/>
    </x:xf>
    <x:xf numFmtId="204" fontId="20" fillId="9" borderId="0" xfId="0" applyNumberFormat="1" applyFont="1" applyFill="1" applyBorder="1" applyAlignment="1">
      <x:alignment wrapText="1"/>
    </x:xf>
    <x:xf numFmtId="202" fontId="20" fillId="9" borderId="0" xfId="0" applyNumberFormat="1" applyFont="1" applyFill="1" applyBorder="1" applyAlignment="1">
      <x:alignment wrapText="1"/>
    </x:xf>
    <x:xf numFmtId="204" fontId="45" fillId="9" borderId="0" xfId="0" applyNumberFormat="1" applyFont="1" applyFill="1" applyBorder="1" applyAlignment="1">
      <x:alignment wrapText="1"/>
    </x:xf>
    <x:xf numFmtId="202" fontId="45" fillId="9" borderId="0" xfId="0" applyNumberFormat="1" applyFont="1" applyFill="1" applyBorder="1" applyAlignment="1">
      <x:alignment wrapText="1"/>
    </x:xf>
    <x:xf numFmtId="0" fontId="45" fillId="9" borderId="0" xfId="0" applyNumberFormat="1" applyFont="1" applyFill="1" applyBorder="1" applyAlignment="1">
      <x:alignment wrapText="1"/>
    </x:xf>
    <x:xf numFmtId="204" fontId="45" fillId="9" borderId="0" xfId="0" applyNumberFormat="1" applyFont="1" applyFill="1" applyBorder="1" applyAlignment="1">
      <x:alignment vertical="center" wrapText="1"/>
    </x:xf>
    <x:xf numFmtId="202" fontId="45" fillId="9" borderId="0" xfId="0" applyNumberFormat="1" applyFont="1" applyFill="1" applyBorder="1" applyAlignment="1">
      <x:alignment vertical="center" wrapText="1"/>
    </x:xf>
    <x:xf numFmtId="0" fontId="45" fillId="9" borderId="0" xfId="0" applyNumberFormat="1" applyFont="1" applyFill="1" applyBorder="1" applyAlignment="1">
      <x:alignment vertical="center" wrapText="1"/>
    </x:xf>
    <x:xf numFmtId="204" fontId="20" fillId="12" borderId="0" xfId="0" applyNumberFormat="1" applyFont="1" applyFill="1" applyBorder="1" applyAlignment="1">
      <x:alignment wrapText="1"/>
    </x:xf>
    <x:xf numFmtId="202" fontId="20" fillId="12" borderId="0" xfId="0" applyNumberFormat="1" applyFont="1" applyFill="1" applyBorder="1" applyAlignment="1">
      <x:alignment wrapText="1"/>
    </x:xf>
    <x:xf numFmtId="0" fontId="20" fillId="12" borderId="0" xfId="0" applyNumberFormat="1" applyFont="1" applyFill="1" applyBorder="1" applyAlignment="1">
      <x:alignment wrapText="1"/>
    </x:xf>
    <x:xf numFmtId="200" fontId="20" fillId="12" borderId="0" xfId="0" applyNumberFormat="1" applyFont="1" applyFill="1" applyBorder="1" applyAlignment="1">
      <x:alignment wrapText="1"/>
    </x:xf>
    <x:xf numFmtId="204" fontId="45" fillId="12" borderId="0" xfId="0" applyNumberFormat="1" applyFont="1" applyFill="1" applyBorder="1" applyAlignment="1">
      <x:alignment wrapText="1"/>
    </x:xf>
    <x:xf numFmtId="202" fontId="45" fillId="12" borderId="0" xfId="0" applyNumberFormat="1" applyFont="1" applyFill="1" applyBorder="1" applyAlignment="1">
      <x:alignment wrapText="1"/>
    </x:xf>
    <x:xf numFmtId="0" fontId="45" fillId="12" borderId="0" xfId="0" applyNumberFormat="1" applyFont="1" applyFill="1" applyBorder="1" applyAlignment="1">
      <x:alignment wrapText="1"/>
    </x:xf>
    <x:xf numFmtId="200" fontId="45" fillId="12" borderId="0" xfId="0" applyNumberFormat="1" applyFont="1" applyFill="1" applyBorder="1" applyAlignment="1">
      <x:alignment wrapText="1"/>
    </x:xf>
    <x:xf numFmtId="204" fontId="45" fillId="12" borderId="0" xfId="0" applyNumberFormat="1" applyFont="1" applyFill="1" applyBorder="1" applyAlignment="1">
      <x:alignment vertical="center" wrapText="1"/>
    </x:xf>
    <x:xf numFmtId="202" fontId="45" fillId="12" borderId="0" xfId="0" applyNumberFormat="1" applyFont="1" applyFill="1" applyBorder="1" applyAlignment="1">
      <x:alignment vertical="center" wrapText="1"/>
    </x:xf>
    <x:xf numFmtId="0" fontId="45" fillId="12" borderId="0" xfId="0" applyNumberFormat="1" applyFont="1" applyFill="1" applyBorder="1" applyAlignment="1">
      <x:alignment vertical="center" wrapText="1"/>
    </x:xf>
    <x:xf numFmtId="200" fontId="45" fillId="12" borderId="0" xfId="0" applyNumberFormat="1" applyFont="1" applyFill="1" applyBorder="1" applyAlignment="1">
      <x:alignment vertical="center" wrapText="1"/>
    </x:xf>
    <x:xf numFmtId="0" fontId="35" fillId="11" borderId="0" xfId="0" applyNumberFormat="1" applyFont="1" applyFill="1" applyBorder="1" applyAlignment="1">
      <x:alignment vertical="center" wrapText="1"/>
    </x:xf>
    <x:xf numFmtId="0" fontId="46" fillId="11" borderId="0" xfId="0" applyNumberFormat="1" applyFont="1" applyFill="1" applyBorder="1" applyAlignment="1">
      <x:alignment vertical="center" wrapText="1"/>
    </x:xf>
    <x:xf numFmtId="204" fontId="35" fillId="5" borderId="0" xfId="0" applyNumberFormat="1" applyFont="1" applyFill="1" applyBorder="1" applyAlignment="1">
      <x:alignment vertical="center" wrapText="1"/>
    </x:xf>
    <x:xf numFmtId="202" fontId="35" fillId="5" borderId="0" xfId="0" applyNumberFormat="1" applyFont="1" applyFill="1" applyBorder="1" applyAlignment="1">
      <x:alignment vertical="center" wrapText="1"/>
    </x:xf>
    <x:xf numFmtId="0" fontId="26" fillId="11" borderId="0" xfId="0" applyNumberFormat="1" applyFont="1" applyFill="1" applyBorder="1" applyAlignment="1">
      <x:alignment horizontal="left" vertical="center" wrapText="1"/>
    </x:xf>
    <x:xf numFmtId="0" fontId="47" fillId="11" borderId="0" xfId="0" applyNumberFormat="1" applyFont="1" applyFill="1" applyBorder="1" applyAlignment="1">
      <x:alignment horizontal="left" vertical="center" wrapText="1"/>
    </x:xf>
    <x:xf numFmtId="0" fontId="0" fillId="8" borderId="0" xfId="0" applyNumberFormat="1" applyFont="1" applyFill="1" applyBorder="1" applyAlignment="1">
      <x:alignment wrapText="1"/>
    </x:xf>
    <x:xf numFmtId="0" fontId="46" fillId="11" borderId="0" xfId="0" applyNumberFormat="1" applyFont="1" applyFill="1" applyBorder="1" applyAlignment="1">
      <x:alignment horizontal="center" vertical="center" wrapText="1"/>
    </x:xf>
    <x:xf numFmtId="0" fontId="35" fillId="5" borderId="17" xfId="0" applyNumberFormat="1" applyFont="1" applyFill="1" applyBorder="1" applyAlignment="1">
      <x:alignment vertical="center" wrapText="1"/>
    </x:xf>
    <x:xf numFmtId="204" fontId="35" fillId="5" borderId="17" xfId="0" applyNumberFormat="1" applyFont="1" applyFill="1" applyBorder="1" applyAlignment="1">
      <x:alignment vertical="center" wrapText="1"/>
    </x:xf>
    <x:xf numFmtId="0" fontId="20" fillId="0" borderId="17" xfId="0" applyNumberFormat="1" applyFont="1" applyFill="1" applyBorder="1" applyAlignment="1">
      <x:alignment wrapText="1"/>
    </x:xf>
    <x:xf numFmtId="202" fontId="35" fillId="5" borderId="17" xfId="0" applyNumberFormat="1" applyFont="1" applyFill="1" applyBorder="1" applyAlignment="1">
      <x:alignment vertical="center" wrapText="1"/>
    </x:xf>
    <x:xf numFmtId="202" fontId="20" fillId="0" borderId="17" xfId="0" applyNumberFormat="1" applyFont="1" applyFill="1" applyBorder="1" applyAlignment="1">
      <x:alignment wrapText="1"/>
    </x:xf>
    <x:xf numFmtId="0" fontId="20" fillId="10" borderId="17" xfId="0" applyNumberFormat="1" applyFont="1" applyFill="1" applyBorder="1" applyAlignment="1">
      <x:alignment wrapText="1"/>
    </x:xf>
    <x:xf numFmtId="202" fontId="20" fillId="10" borderId="17" xfId="0" applyNumberFormat="1" applyFont="1" applyFill="1" applyBorder="1" applyAlignment="1">
      <x:alignment wrapText="1"/>
    </x:xf>
    <x:xf numFmtId="0" fontId="44" fillId="10" borderId="17" xfId="0" applyNumberFormat="1" applyFont="1" applyFill="1" applyBorder="1" applyAlignment="1">
      <x:alignment wrapText="1"/>
    </x:xf>
    <x:xf numFmtId="202" fontId="44" fillId="10" borderId="17" xfId="0" applyNumberFormat="1" applyFont="1" applyFill="1" applyBorder="1" applyAlignment="1">
      <x:alignment wrapText="1"/>
    </x:xf>
    <x:xf numFmtId="0" fontId="44" fillId="10" borderId="18" xfId="0" applyNumberFormat="1" applyFont="1" applyFill="1" applyBorder="1" applyAlignment="1">
      <x:alignment wrapText="1"/>
    </x:xf>
    <x:xf numFmtId="202" fontId="44" fillId="10" borderId="18" xfId="0" applyNumberFormat="1" applyFont="1" applyFill="1" applyBorder="1" applyAlignment="1">
      <x:alignment wrapText="1"/>
    </x:xf>
    <x:xf numFmtId="0" fontId="44" fillId="11" borderId="0" xfId="0" applyNumberFormat="1" applyFont="1" applyFill="1" applyBorder="1" applyAlignment="1">
      <x:alignment horizontal="center" vertical="center" wrapText="1"/>
    </x:xf>
    <x:xf numFmtId="0" fontId="35" fillId="13" borderId="17" xfId="0" applyNumberFormat="1" applyFont="1" applyFill="1" applyBorder="1" applyAlignment="1">
      <x:alignment vertical="center" wrapText="1"/>
    </x:xf>
    <x:xf numFmtId="204" fontId="35" fillId="13" borderId="17" xfId="0" applyNumberFormat="1" applyFont="1" applyFill="1" applyBorder="1" applyAlignment="1">
      <x:alignment vertical="center" wrapText="1"/>
    </x:xf>
    <x:xf numFmtId="0" fontId="20" fillId="13" borderId="17" xfId="0" applyNumberFormat="1" applyFont="1" applyFill="1" applyBorder="1" applyAlignment="1">
      <x:alignment wrapText="1"/>
    </x:xf>
    <x:xf numFmtId="0" fontId="48" fillId="13" borderId="17" xfId="0" applyNumberFormat="1" applyFont="1" applyFill="1" applyBorder="1" applyAlignment="1">
      <x:alignment vertical="center" wrapText="1"/>
    </x:xf>
    <x:xf numFmtId="204" fontId="48" fillId="13" borderId="17" xfId="0" applyNumberFormat="1" applyFont="1" applyFill="1" applyBorder="1" applyAlignment="1">
      <x:alignment vertical="center" wrapText="1"/>
    </x:xf>
    <x:xf numFmtId="0" fontId="49" fillId="13" borderId="17" xfId="0" applyNumberFormat="1" applyFont="1" applyFill="1" applyBorder="1" applyAlignment="1">
      <x:alignment wrapText="1"/>
    </x:xf>
    <x:xf numFmtId="202" fontId="35" fillId="13" borderId="17" xfId="0" applyNumberFormat="1" applyFont="1" applyFill="1" applyBorder="1" applyAlignment="1">
      <x:alignment vertical="center" wrapText="1"/>
    </x:xf>
    <x:xf numFmtId="202" fontId="48" fillId="13" borderId="17" xfId="0" applyNumberFormat="1" applyFont="1" applyFill="1" applyBorder="1" applyAlignment="1">
      <x:alignment vertical="center" wrapText="1"/>
    </x:xf>
    <x:xf numFmtId="0" fontId="48" fillId="13" borderId="17" xfId="0" applyNumberFormat="1" applyFont="1" applyFill="1" applyBorder="1" applyAlignment="1">
      <x:alignment horizontal="left" vertical="center" wrapText="1"/>
    </x:xf>
    <x:xf numFmtId="0" fontId="44" fillId="10" borderId="18" xfId="0" applyNumberFormat="1" applyFont="1" applyFill="1" applyBorder="1" applyAlignment="1">
      <x:alignment horizontal="left" wrapText="1"/>
    </x:xf>
    <x:xf numFmtId="204" fontId="48" fillId="13" borderId="17" xfId="0" applyNumberFormat="1" applyFont="1" applyFill="1" applyBorder="1" applyAlignment="1">
      <x:alignment horizontal="right" vertical="center" wrapText="1"/>
    </x:xf>
    <x:xf numFmtId="202" fontId="48" fillId="13" borderId="17" xfId="0" applyNumberFormat="1" applyFont="1" applyFill="1" applyBorder="1" applyAlignment="1">
      <x:alignment horizontal="right" vertical="center" wrapText="1"/>
    </x:xf>
    <x:xf numFmtId="202" fontId="44" fillId="10" borderId="18" xfId="0" applyNumberFormat="1" applyFont="1" applyFill="1" applyBorder="1" applyAlignment="1">
      <x:alignment horizontal="right" wrapText="1"/>
    </x:xf>
    <x:xf numFmtId="0" fontId="49" fillId="13" borderId="17" xfId="0" applyNumberFormat="1" applyFont="1" applyFill="1" applyBorder="1" applyAlignment="1">
      <x:alignment horizontal="left" wrapText="1"/>
    </x:xf>
  </x:cellXfs>
  <x:cellStyles count="1">
    <x:cellStyle name="Normal" xfId="0"/>
  </x:cellStyles>
  <x:dxfs count="8">
    <x:dxf>
      <x:font>
        <x:b/>
        <x:color rgb="FFB42318"/>
      </x:font>
      <x:fill>
        <x:patternFill>
          <x:bgColor rgb="FFFEE2E2"/>
        </x:patternFill>
      </x:fill>
    </x:dxf>
    <x:dxf>
      <x:font>
        <x:b/>
        <x:color rgb="FFB7791F"/>
      </x:font>
      <x:fill>
        <x:patternFill>
          <x:bgColor rgb="FFFFF4CC"/>
        </x:patternFill>
      </x:fill>
    </x:dxf>
    <x:dxf>
      <x:font>
        <x:b/>
        <x:color rgb="FFB42318"/>
      </x:font>
      <x:fill>
        <x:patternFill>
          <x:bgColor rgb="FFFEE2E2"/>
        </x:patternFill>
      </x:fill>
    </x:dxf>
    <x:dxf>
      <x:font>
        <x:b/>
        <x:color rgb="FFB7791F"/>
      </x:font>
      <x:fill>
        <x:patternFill>
          <x:bgColor rgb="FFFFF4CC"/>
        </x:patternFill>
      </x:fill>
    </x:dxf>
    <x:dxf>
      <x:font>
        <x:b/>
        <x:color rgb="FF167D5A"/>
      </x:font>
      <x:fill>
        <x:patternFill>
          <x:bgColor rgb="FFDCFCE7"/>
        </x:patternFill>
      </x:fill>
    </x:dxf>
    <x:dxf>
      <x:font>
        <x:b/>
        <x:color rgb="FFB42318"/>
      </x:font>
      <x:fill>
        <x:patternFill>
          <x:bgColor rgb="FFFEE2E2"/>
        </x:patternFill>
      </x:fill>
    </x:dxf>
    <x:dxf>
      <x:font>
        <x:b/>
        <x:color rgb="FF166534"/>
      </x:font>
      <x:fill>
        <x:patternFill patternType="solid">
          <x:bgColor rgb="FFDCFCE7"/>
        </x:patternFill>
      </x:fill>
    </x:dxf>
    <x:dxf>
      <x:font>
        <x:b/>
        <x:color rgb="FFC00000"/>
      </x:font>
      <x:fill>
        <x:patternFill patternType="solid">
          <x:bgColor rgb="FFFECACA"/>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5dbe626a2e74b83" /><Relationship Type="http://schemas.openxmlformats.org/officeDocument/2006/relationships/theme" Target="/xl/theme/theme1.xml" Id="Rfcaac811a3694b00" /><Relationship Type="http://schemas.openxmlformats.org/officeDocument/2006/relationships/sharedStrings" Target="/xl/sharedStrings.xml" Id="Rc45cfc6c359e4c2d" /><Relationship Type="http://schemas.openxmlformats.org/officeDocument/2006/relationships/worksheet" Target="/xl/worksheets/sheet1.xml" Id="R0c47c61015e841f3" /><Relationship Type="http://schemas.openxmlformats.org/officeDocument/2006/relationships/worksheet" Target="/xl/worksheets/sheet2.xml" Id="R12f59d664f4c4b0f" /><Relationship Type="http://schemas.openxmlformats.org/officeDocument/2006/relationships/worksheet" Target="/xl/worksheets/sheet3.xml" Id="R65bcf8ed573c4a0c" /><Relationship Type="http://schemas.openxmlformats.org/officeDocument/2006/relationships/worksheet" Target="/xl/worksheets/sheet4.xml" Id="Rc855fa61205744f2" /><Relationship Type="http://schemas.openxmlformats.org/officeDocument/2006/relationships/worksheet" Target="/xl/worksheets/sheet5.xml" Id="Rae071c919204495f" /><Relationship Type="http://schemas.openxmlformats.org/officeDocument/2006/relationships/worksheet" Target="/xl/worksheets/sheet6.xml" Id="R230b4ff4889d49a6" /><Relationship Type="http://schemas.openxmlformats.org/officeDocument/2006/relationships/worksheet" Target="/xl/worksheets/sheet7.xml" Id="R83853ab71070468d" /><Relationship Type="http://schemas.openxmlformats.org/officeDocument/2006/relationships/worksheet" Target="/xl/worksheets/sheet8.xml" Id="R553693690b39470b" /><Relationship Type="http://schemas.openxmlformats.org/officeDocument/2006/relationships/worksheet" Target="/xl/worksheets/sheet9.xml" Id="Rb09d5c2a33554c84" /><Relationship Type="http://schemas.openxmlformats.org/officeDocument/2006/relationships/worksheet" Target="/xl/worksheets/sheet10.xml" Id="R4e2c2b5d9c7f4630" /><Relationship Type="http://schemas.openxmlformats.org/officeDocument/2006/relationships/worksheet" Target="/xl/worksheets/sheet11.xml" Id="Rc89a02c1282d4c99" /><Relationship Type="http://schemas.openxmlformats.org/officeDocument/2006/relationships/worksheet" Target="/xl/worksheets/sheet12.xml" Id="Rad10dbc41f7e463b" /></Relationships>
</file>

<file path=xl/drawings/_rels/drawing1.xml.rels>&#65279;<?xml version="1.0" encoding="utf-8"?><Relationships xmlns="http://schemas.openxmlformats.org/package/2006/relationships"><Relationship Type="http://schemas.openxmlformats.org/officeDocument/2006/relationships/chart" Target="/xl/drawings/charts/chart1.xml" Id="R619237ff68184054" /><Relationship Type="http://schemas.openxmlformats.org/officeDocument/2006/relationships/chart" Target="/xl/drawings/charts/chart2.xml" Id="R734e250c8de24ed7"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Active Machines — Scenario Comparison</a:t>
            </a:r>
          </a:p>
        </c:rich>
      </c:tx>
    </c:title>
    <c:plotArea>
      <c:lineChart>
        <c:grouping val="standard"/>
        <c:varyColors val="0"/>
        <c:ser>
          <c:idx val="0"/>
          <c:order val="0"/>
          <c:tx>
            <c:v>S1 Active Machines</c:v>
          </c:tx>
          <c:marker>
            <c:symbol val="none"/>
          </c:marker>
          <c:cat>
            <c:strRef>
              <c:f>'Summary'!$E$4:$E$24</c:f>
              <c:strCache>
                <c:ptCount val="0"/>
              </c:strCache>
            </c:strRef>
          </c:cat>
          <c:val>
            <c:numRef>
              <c:f>'Summary'!$F$4:$F$24</c:f>
              <c:numCache>
                <c:formatCode>#,##0;[Red](#,##0);-</c:formatCode>
                <c:ptCount val="0"/>
              </c:numCache>
            </c:numRef>
          </c:val>
        </c:ser>
        <c:ser>
          <c:idx val="1"/>
          <c:order val="1"/>
          <c:tx>
            <c:v>S2 Active Machines</c:v>
          </c:tx>
          <c:marker>
            <c:symbol val="none"/>
          </c:marker>
          <c:cat>
            <c:strRef>
              <c:f>'Summary'!$E$4:$E$24</c:f>
              <c:strCache>
                <c:ptCount val="0"/>
              </c:strCache>
            </c:strRef>
          </c:cat>
          <c:val>
            <c:numRef>
              <c:f>'Summary'!$G$4:$G$24</c:f>
              <c:numCache>
                <c:formatCode>#,##0;[Red](#,##0);-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mmm-yy" sourceLinked="0"/>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Closing Cash — Scenario Comparison</a:t>
            </a:r>
          </a:p>
        </c:rich>
      </c:tx>
    </c:title>
    <c:plotArea>
      <c:lineChart>
        <c:grouping val="standard"/>
        <c:varyColors val="0"/>
        <c:ser>
          <c:idx val="0"/>
          <c:order val="0"/>
          <c:tx>
            <c:v>S1 Closing Cash</c:v>
          </c:tx>
          <c:marker>
            <c:symbol val="none"/>
          </c:marker>
          <c:cat>
            <c:strRef>
              <c:f>'Summary'!$K$21:$K$41</c:f>
              <c:strCache>
                <c:ptCount val="0"/>
              </c:strCache>
            </c:strRef>
          </c:cat>
          <c:val>
            <c:numRef>
              <c:f>'Summary'!$L$21:$L$41</c:f>
              <c:numCache>
                <c:formatCode>€#,##0;[Red](€#,##0);-</c:formatCode>
                <c:ptCount val="0"/>
              </c:numCache>
            </c:numRef>
          </c:val>
        </c:ser>
        <c:ser>
          <c:idx val="1"/>
          <c:order val="1"/>
          <c:tx>
            <c:v>S2 Closing Cash</c:v>
          </c:tx>
          <c:marker>
            <c:symbol val="none"/>
          </c:marker>
          <c:cat>
            <c:strRef>
              <c:f>'Summary'!$K$21:$K$41</c:f>
              <c:strCache>
                <c:ptCount val="0"/>
              </c:strCache>
            </c:strRef>
          </c:cat>
          <c:val>
            <c:numRef>
              <c:f>'Summary'!$M$21:$M$41</c:f>
              <c:numCache>
                <c:formatCode>€#,##0;[Red](€#,##0);-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mmm-yy" sourceLinked="0"/>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10</xdr:col>
      <xdr:colOff>0</xdr:colOff>
      <xdr:row>2</xdr:row>
      <xdr:rowOff>0</xdr:rowOff>
    </xdr:from>
    <xdr:to>
      <xdr:col>18</xdr:col>
      <xdr:colOff>0</xdr:colOff>
      <xdr:row>16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19237ff68184054"/>
        </a:graphicData>
      </a:graphic>
    </xdr:graphicFrame>
    <xdr:clientData/>
  </xdr:twoCellAnchor>
  <xdr:twoCellAnchor>
    <xdr:from>
      <xdr:col>10</xdr:col>
      <xdr:colOff>0</xdr:colOff>
      <xdr:row>17</xdr:row>
      <xdr:rowOff>0</xdr:rowOff>
    </xdr:from>
    <xdr:to>
      <xdr:col>18</xdr:col>
      <xdr:colOff>0</xdr:colOff>
      <xdr:row>32</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34e250c8de24ed7"/>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7.xml.rels>&#65279;<?xml version="1.0" encoding="utf-8"?><Relationships xmlns="http://schemas.openxmlformats.org/package/2006/relationships"><Relationship Type="http://schemas.openxmlformats.org/officeDocument/2006/relationships/drawing" Target="/xl/drawings/drawing1.xml" Id="Rca837330ac004961" /></Relationships>
</file>

<file path=xl/worksheets/sheet1.xml><?xml version="1.0" encoding="utf-8"?>
<x:worksheet xmlns:x="http://schemas.openxmlformats.org/spreadsheetml/2006/main">
  <x:sheetFormatPr defaultRowHeight="15"/>
  <x:cols>
    <x:col min="1" max="1" width="14"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x:c r="A1" s="226" t="str">
        <x:v>MAGNÆRA™ BUSINESS CASE</x:v>
      </x:c>
      <x:c r="B1" s="226"/>
      <x:c r="C1" s="226"/>
      <x:c r="D1" s="226"/>
      <x:c r="E1" s="226"/>
      <x:c r="F1" s="226"/>
      <x:c r="G1" s="226"/>
      <x:c r="H1" s="226"/>
      <x:c r="I1" s="227"/>
      <x:c r="J1" s="227"/>
      <x:c r="K1" s="227"/>
      <x:c r="L1" s="227"/>
      <x:c r="M1" s="227"/>
      <x:c r="N1" s="227"/>
      <x:c r="O1" s="227"/>
      <x:c r="P1" s="227"/>
      <x:c r="Q1" s="227"/>
      <x:c r="R1" s="227"/>
      <x:c r="S1" s="227"/>
      <x:c r="T1" s="227"/>
      <x:c r="U1" s="227"/>
      <x:c r="V1" s="227"/>
      <x:c r="W1" s="227"/>
      <x:c r="X1" s="227"/>
      <x:c r="Y1" s="227"/>
      <x:c r="Z1" s="227"/>
    </x:row>
    <x:row r="2">
      <x:c r="A2" s="226"/>
      <x:c r="B2" s="226"/>
      <x:c r="C2" s="226"/>
      <x:c r="D2" s="226"/>
      <x:c r="E2" s="226"/>
      <x:c r="F2" s="226"/>
      <x:c r="G2" s="226"/>
      <x:c r="H2" s="226"/>
      <x:c r="I2" s="227"/>
      <x:c r="J2" s="227"/>
      <x:c r="K2" s="227"/>
      <x:c r="L2" s="227"/>
      <x:c r="M2" s="227"/>
      <x:c r="N2" s="227"/>
      <x:c r="O2" s="227"/>
      <x:c r="P2" s="227"/>
      <x:c r="Q2" s="227"/>
      <x:c r="R2" s="227"/>
      <x:c r="S2" s="227"/>
      <x:c r="T2" s="227"/>
      <x:c r="U2" s="227"/>
      <x:c r="V2" s="227"/>
      <x:c r="W2" s="227"/>
      <x:c r="X2" s="227"/>
      <x:c r="Y2" s="227"/>
      <x:c r="Z2" s="227"/>
    </x:row>
    <x:row r="3">
      <x:c r="A3" s="226"/>
      <x:c r="B3" s="226"/>
      <x:c r="C3" s="226"/>
      <x:c r="D3" s="226"/>
      <x:c r="E3" s="226"/>
      <x:c r="F3" s="226"/>
      <x:c r="G3" s="226"/>
      <x:c r="H3" s="226"/>
      <x:c r="I3" s="227"/>
      <x:c r="J3" s="227"/>
      <x:c r="K3" s="227"/>
      <x:c r="L3" s="227"/>
      <x:c r="M3" s="227"/>
      <x:c r="N3" s="227"/>
      <x:c r="O3" s="227"/>
      <x:c r="P3" s="227"/>
      <x:c r="Q3" s="227"/>
      <x:c r="R3" s="227"/>
      <x:c r="S3" s="227"/>
      <x:c r="T3" s="227"/>
      <x:c r="U3" s="227"/>
      <x:c r="V3" s="227"/>
      <x:c r="W3" s="227"/>
      <x:c r="X3" s="227"/>
      <x:c r="Y3" s="227"/>
      <x:c r="Z3" s="227"/>
    </x:row>
    <x:row r="4">
      <x:c r="A4" s="226"/>
      <x:c r="B4" s="226"/>
      <x:c r="C4" s="226"/>
      <x:c r="D4" s="226"/>
      <x:c r="E4" s="226"/>
      <x:c r="F4" s="226"/>
      <x:c r="G4" s="226"/>
      <x:c r="H4" s="226"/>
      <x:c r="I4" s="227"/>
      <x:c r="J4" s="227"/>
      <x:c r="K4" s="227"/>
      <x:c r="L4" s="227"/>
      <x:c r="M4" s="227"/>
      <x:c r="N4" s="227"/>
      <x:c r="O4" s="227"/>
      <x:c r="P4" s="227"/>
      <x:c r="Q4" s="227"/>
      <x:c r="R4" s="227"/>
      <x:c r="S4" s="227"/>
      <x:c r="T4" s="227"/>
      <x:c r="U4" s="227"/>
      <x:c r="V4" s="227"/>
      <x:c r="W4" s="227"/>
      <x:c r="X4" s="227"/>
      <x:c r="Y4" s="227"/>
      <x:c r="Z4" s="227"/>
    </x:row>
    <x:row r="5">
      <x:c r="A5" s="226"/>
      <x:c r="B5" s="226"/>
      <x:c r="C5" s="226"/>
      <x:c r="D5" s="226"/>
      <x:c r="E5" s="226"/>
      <x:c r="F5" s="226"/>
      <x:c r="G5" s="226"/>
      <x:c r="H5" s="226"/>
      <x:c r="I5" s="227"/>
      <x:c r="J5" s="227"/>
      <x:c r="K5" s="227"/>
      <x:c r="L5" s="227"/>
      <x:c r="M5" s="227"/>
      <x:c r="N5" s="227"/>
      <x:c r="O5" s="227"/>
      <x:c r="P5" s="227"/>
      <x:c r="Q5" s="227"/>
      <x:c r="R5" s="227"/>
      <x:c r="S5" s="227"/>
      <x:c r="T5" s="227"/>
      <x:c r="U5" s="227"/>
      <x:c r="V5" s="227"/>
      <x:c r="W5" s="227"/>
      <x:c r="X5" s="227"/>
      <x:c r="Y5" s="227"/>
      <x:c r="Z5" s="227"/>
    </x:row>
    <x:row r="6">
      <x:c r="A6" s="228" t="str">
        <x:v>21-Month Two-Scenario Financial Model · FINAL VALIDATED</x:v>
      </x:c>
      <x:c r="B6" s="228"/>
      <x:c r="C6" s="228"/>
      <x:c r="D6" s="228"/>
      <x:c r="E6" s="228"/>
      <x:c r="F6" s="228"/>
      <x:c r="G6" s="228"/>
      <x:c r="H6" s="228"/>
      <x:c r="I6" s="227"/>
      <x:c r="J6" s="227"/>
      <x:c r="K6" s="227"/>
      <x:c r="L6" s="227"/>
      <x:c r="M6" s="227"/>
      <x:c r="N6" s="227"/>
      <x:c r="O6" s="227"/>
      <x:c r="P6" s="227"/>
      <x:c r="Q6" s="227"/>
      <x:c r="R6" s="227"/>
      <x:c r="S6" s="227"/>
      <x:c r="T6" s="227"/>
      <x:c r="U6" s="227"/>
      <x:c r="V6" s="227"/>
      <x:c r="W6" s="227"/>
      <x:c r="X6" s="227"/>
      <x:c r="Y6" s="227"/>
      <x:c r="Z6" s="227"/>
    </x:row>
    <x:row r="7">
      <x:c r="A7" s="228"/>
      <x:c r="B7" s="228"/>
      <x:c r="C7" s="228"/>
      <x:c r="D7" s="228"/>
      <x:c r="E7" s="228"/>
      <x:c r="F7" s="228"/>
      <x:c r="G7" s="228"/>
      <x:c r="H7" s="228"/>
      <x:c r="I7" s="227"/>
      <x:c r="J7" s="227"/>
      <x:c r="K7" s="227"/>
      <x:c r="L7" s="227"/>
      <x:c r="M7" s="227"/>
      <x:c r="N7" s="227"/>
      <x:c r="O7" s="227"/>
      <x:c r="P7" s="227"/>
      <x:c r="Q7" s="227"/>
      <x:c r="R7" s="227"/>
      <x:c r="S7" s="227"/>
      <x:c r="T7" s="227"/>
      <x:c r="U7" s="227"/>
      <x:c r="V7" s="227"/>
      <x:c r="W7" s="227"/>
      <x:c r="X7" s="227"/>
      <x:c r="Y7" s="227"/>
      <x:c r="Z7" s="227"/>
    </x:row>
    <x:row r="8">
      <x:c r="A8" s="229"/>
      <x:c r="B8" s="229"/>
      <x:c r="C8" s="229"/>
      <x:c r="D8" s="229"/>
      <x:c r="E8" s="229"/>
      <x:c r="F8" s="229"/>
      <x:c r="G8" s="229"/>
      <x:c r="H8" s="229"/>
      <x:c r="I8" s="227"/>
      <x:c r="J8" s="227"/>
      <x:c r="K8" s="227"/>
      <x:c r="L8" s="227"/>
      <x:c r="M8" s="227"/>
      <x:c r="N8" s="227"/>
      <x:c r="O8" s="227"/>
      <x:c r="P8" s="227"/>
      <x:c r="Q8" s="227"/>
      <x:c r="R8" s="227"/>
      <x:c r="S8" s="227"/>
      <x:c r="T8" s="227"/>
      <x:c r="U8" s="227"/>
      <x:c r="V8" s="227"/>
      <x:c r="W8" s="227"/>
      <x:c r="X8" s="227"/>
      <x:c r="Y8" s="227"/>
      <x:c r="Z8" s="227"/>
    </x:row>
    <x:row r="9">
      <x:c r="A9" s="216" t="str">
        <x:v>Scenario 1: €230k seed-funded organic growth through recurring reinvestment. Scenario 2: the same operational launch followed by a €4.0M institutional round in March 2027. Both cases include the recurring football-club member collectible programme and explicit professional cost / liquidity validation.</x:v>
      </x:c>
      <x:c r="B9" s="216"/>
      <x:c r="C9" s="216"/>
      <x:c r="D9" s="216"/>
      <x:c r="E9" s="216"/>
      <x:c r="F9" s="216"/>
      <x:c r="G9" s="216"/>
      <x:c r="H9" s="216"/>
      <x:c r="I9" s="227"/>
      <x:c r="J9" s="227"/>
      <x:c r="K9" s="227"/>
      <x:c r="L9" s="227"/>
      <x:c r="M9" s="227"/>
      <x:c r="N9" s="227"/>
      <x:c r="O9" s="227"/>
      <x:c r="P9" s="227"/>
      <x:c r="Q9" s="227"/>
      <x:c r="R9" s="227"/>
      <x:c r="S9" s="227"/>
      <x:c r="T9" s="227"/>
      <x:c r="U9" s="227"/>
      <x:c r="V9" s="227"/>
      <x:c r="W9" s="227"/>
      <x:c r="X9" s="227"/>
      <x:c r="Y9" s="227"/>
      <x:c r="Z9" s="227"/>
    </x:row>
    <x:row r="10">
      <x:c r="A10" s="216"/>
      <x:c r="B10" s="216"/>
      <x:c r="C10" s="216"/>
      <x:c r="D10" s="216"/>
      <x:c r="E10" s="216"/>
      <x:c r="F10" s="216"/>
      <x:c r="G10" s="216"/>
      <x:c r="H10" s="216"/>
      <x:c r="I10" s="227"/>
      <x:c r="J10" s="227"/>
      <x:c r="K10" s="227"/>
      <x:c r="L10" s="227"/>
      <x:c r="M10" s="227"/>
      <x:c r="N10" s="227"/>
      <x:c r="O10" s="227"/>
      <x:c r="P10" s="227"/>
      <x:c r="Q10" s="227"/>
      <x:c r="R10" s="227"/>
      <x:c r="S10" s="227"/>
      <x:c r="T10" s="227"/>
      <x:c r="U10" s="227"/>
      <x:c r="V10" s="227"/>
      <x:c r="W10" s="227"/>
      <x:c r="X10" s="227"/>
      <x:c r="Y10" s="227"/>
      <x:c r="Z10" s="227"/>
    </x:row>
    <x:row r="11">
      <x:c r="A11" s="216"/>
      <x:c r="B11" s="216"/>
      <x:c r="C11" s="216"/>
      <x:c r="D11" s="216"/>
      <x:c r="E11" s="216"/>
      <x:c r="F11" s="216"/>
      <x:c r="G11" s="216"/>
      <x:c r="H11" s="216"/>
      <x:c r="I11" s="227"/>
      <x:c r="J11" s="227"/>
      <x:c r="K11" s="227"/>
      <x:c r="L11" s="227"/>
      <x:c r="M11" s="227"/>
      <x:c r="N11" s="227"/>
      <x:c r="O11" s="227"/>
      <x:c r="P11" s="227"/>
      <x:c r="Q11" s="227"/>
      <x:c r="R11" s="227"/>
      <x:c r="S11" s="227"/>
      <x:c r="T11" s="227"/>
      <x:c r="U11" s="227"/>
      <x:c r="V11" s="227"/>
      <x:c r="W11" s="227"/>
      <x:c r="X11" s="227"/>
      <x:c r="Y11" s="227"/>
      <x:c r="Z11" s="227"/>
    </x:row>
    <x:row r="12">
      <x:c r="A12" s="216"/>
      <x:c r="B12" s="216"/>
      <x:c r="C12" s="216"/>
      <x:c r="D12" s="216"/>
      <x:c r="E12" s="216"/>
      <x:c r="F12" s="216"/>
      <x:c r="G12" s="216"/>
      <x:c r="H12" s="216"/>
      <x:c r="I12" s="227"/>
      <x:c r="J12" s="227"/>
      <x:c r="K12" s="227"/>
      <x:c r="L12" s="227"/>
      <x:c r="M12" s="227"/>
      <x:c r="N12" s="227"/>
      <x:c r="O12" s="227"/>
      <x:c r="P12" s="227"/>
      <x:c r="Q12" s="227"/>
      <x:c r="R12" s="227"/>
      <x:c r="S12" s="227"/>
      <x:c r="T12" s="227"/>
      <x:c r="U12" s="227"/>
      <x:c r="V12" s="227"/>
      <x:c r="W12" s="227"/>
      <x:c r="X12" s="227"/>
      <x:c r="Y12" s="227"/>
      <x:c r="Z12" s="227"/>
    </x:row>
    <x:row r="13">
      <x:c r="A13" s="229"/>
      <x:c r="B13" s="229"/>
      <x:c r="C13" s="229"/>
      <x:c r="D13" s="229"/>
      <x:c r="E13" s="229"/>
      <x:c r="F13" s="229"/>
      <x:c r="G13" s="229"/>
      <x:c r="H13" s="229"/>
      <x:c r="I13" s="227"/>
      <x:c r="J13" s="227"/>
      <x:c r="K13" s="227"/>
      <x:c r="L13" s="227"/>
      <x:c r="M13" s="227"/>
      <x:c r="N13" s="227"/>
      <x:c r="O13" s="227"/>
      <x:c r="P13" s="227"/>
      <x:c r="Q13" s="227"/>
      <x:c r="R13" s="227"/>
      <x:c r="S13" s="227"/>
      <x:c r="T13" s="227"/>
      <x:c r="U13" s="227"/>
      <x:c r="V13" s="227"/>
      <x:c r="W13" s="227"/>
      <x:c r="X13" s="227"/>
      <x:c r="Y13" s="227"/>
      <x:c r="Z13" s="227"/>
    </x:row>
    <x:row r="14">
      <x:c r="A14" s="229" t="str">
        <x:v>Model start</x:v>
      </x:c>
      <x:c r="B14" s="229" t="str">
        <x:v>Model start</x:v>
      </x:c>
      <x:c r="C14" s="229" t="str">
        <x:v>Model start</x:v>
      </x:c>
      <x:c r="D14" s="229" t="str">
        <x:v>August 2026</x:v>
      </x:c>
      <x:c r="E14" s="229" t="str">
        <x:v>August 2026</x:v>
      </x:c>
      <x:c r="F14" s="229" t="str">
        <x:v>August 2026</x:v>
      </x:c>
      <x:c r="G14" s="229" t="str">
        <x:v>August 2026</x:v>
      </x:c>
      <x:c r="H14" s="229" t="str">
        <x:v>August 2026</x:v>
      </x:c>
      <x:c r="I14" s="227"/>
      <x:c r="J14" s="227"/>
      <x:c r="K14" s="227"/>
      <x:c r="L14" s="227"/>
      <x:c r="M14" s="227"/>
      <x:c r="N14" s="227"/>
      <x:c r="O14" s="227"/>
      <x:c r="P14" s="227"/>
      <x:c r="Q14" s="227"/>
      <x:c r="R14" s="227"/>
      <x:c r="S14" s="227"/>
      <x:c r="T14" s="227"/>
      <x:c r="U14" s="227"/>
      <x:c r="V14" s="227"/>
      <x:c r="W14" s="227"/>
      <x:c r="X14" s="227"/>
      <x:c r="Y14" s="227"/>
      <x:c r="Z14" s="227"/>
    </x:row>
    <x:row r="15">
      <x:c r="A15" s="229" t="str">
        <x:v>Forecast period</x:v>
      </x:c>
      <x:c r="B15" s="229" t="str">
        <x:v>Forecast period</x:v>
      </x:c>
      <x:c r="C15" s="229" t="str">
        <x:v>Forecast period</x:v>
      </x:c>
      <x:c r="D15" s="229" t="str">
        <x:v>21 months · Aug-26 to Apr-28</x:v>
      </x:c>
      <x:c r="E15" s="229" t="str">
        <x:v>21 months · Aug-26 to Apr-28</x:v>
      </x:c>
      <x:c r="F15" s="229" t="str">
        <x:v>21 months · Aug-26 to Apr-28</x:v>
      </x:c>
      <x:c r="G15" s="229" t="str">
        <x:v>21 months · Aug-26 to Apr-28</x:v>
      </x:c>
      <x:c r="H15" s="229" t="str">
        <x:v>21 months · Aug-26 to Apr-28</x:v>
      </x:c>
      <x:c r="I15" s="227"/>
      <x:c r="J15" s="227"/>
      <x:c r="K15" s="227"/>
      <x:c r="L15" s="227"/>
      <x:c r="M15" s="227"/>
      <x:c r="N15" s="227"/>
      <x:c r="O15" s="227"/>
      <x:c r="P15" s="227"/>
      <x:c r="Q15" s="227"/>
      <x:c r="R15" s="227"/>
      <x:c r="S15" s="227"/>
      <x:c r="T15" s="227"/>
      <x:c r="U15" s="227"/>
      <x:c r="V15" s="227"/>
      <x:c r="W15" s="227"/>
      <x:c r="X15" s="227"/>
      <x:c r="Y15" s="227"/>
      <x:c r="Z15" s="227"/>
    </x:row>
    <x:row r="16">
      <x:c r="A16" s="229" t="str">
        <x:v>Initial expansion</x:v>
      </x:c>
      <x:c r="B16" s="229" t="str">
        <x:v>Initial expansion</x:v>
      </x:c>
      <x:c r="C16" s="229" t="str">
        <x:v>Initial expansion</x:v>
      </x:c>
      <x:c r="D16" s="229" t="str">
        <x:v>30 new machines · 25 large + 5 compact · 30,000 magnets</x:v>
      </x:c>
      <x:c r="E16" s="229" t="str">
        <x:v>30 new machines · 25 large + 5 compact · 30,000 magnets</x:v>
      </x:c>
      <x:c r="F16" s="229" t="str">
        <x:v>30 new machines · 25 large + 5 compact · 30,000 magnets</x:v>
      </x:c>
      <x:c r="G16" s="229" t="str">
        <x:v>30 new machines · 25 large + 5 compact · 30,000 magnets</x:v>
      </x:c>
      <x:c r="H16" s="229" t="str">
        <x:v>30 new machines · 25 large + 5 compact · 30,000 magnets</x:v>
      </x:c>
      <x:c r="I16" s="227"/>
      <x:c r="J16" s="227"/>
      <x:c r="K16" s="227"/>
      <x:c r="L16" s="227"/>
      <x:c r="M16" s="227"/>
      <x:c r="N16" s="227"/>
      <x:c r="O16" s="227"/>
      <x:c r="P16" s="227"/>
      <x:c r="Q16" s="227"/>
      <x:c r="R16" s="227"/>
      <x:c r="S16" s="227"/>
      <x:c r="T16" s="227"/>
      <x:c r="U16" s="227"/>
      <x:c r="V16" s="227"/>
      <x:c r="W16" s="227"/>
      <x:c r="X16" s="227"/>
      <x:c r="Y16" s="227"/>
      <x:c r="Z16" s="227"/>
    </x:row>
    <x:row r="17">
      <x:c r="A17" s="229" t="str">
        <x:v>Pilot base</x:v>
      </x:c>
      <x:c r="B17" s="229" t="str">
        <x:v>Pilot base</x:v>
      </x:c>
      <x:c r="C17" s="229" t="str">
        <x:v>Pilot base</x:v>
      </x:c>
      <x:c r="D17" s="229" t="str">
        <x:v>2 shareholder-funded machines · 1,000 pilot magnets</x:v>
      </x:c>
      <x:c r="E17" s="229" t="str">
        <x:v>2 shareholder-funded machines · 1,000 pilot magnets</x:v>
      </x:c>
      <x:c r="F17" s="229" t="str">
        <x:v>2 shareholder-funded machines · 1,000 pilot magnets</x:v>
      </x:c>
      <x:c r="G17" s="229" t="str">
        <x:v>2 shareholder-funded machines · 1,000 pilot magnets</x:v>
      </x:c>
      <x:c r="H17" s="229" t="str">
        <x:v>2 shareholder-funded machines · 1,000 pilot magnets</x:v>
      </x:c>
      <x:c r="I17" s="227"/>
      <x:c r="J17" s="227"/>
      <x:c r="K17" s="227"/>
      <x:c r="L17" s="227"/>
      <x:c r="M17" s="227"/>
      <x:c r="N17" s="227"/>
      <x:c r="O17" s="227"/>
      <x:c r="P17" s="227"/>
      <x:c r="Q17" s="227"/>
      <x:c r="R17" s="227"/>
      <x:c r="S17" s="227"/>
      <x:c r="T17" s="227"/>
      <x:c r="U17" s="227"/>
      <x:c r="V17" s="227"/>
      <x:c r="W17" s="227"/>
      <x:c r="X17" s="227"/>
      <x:c r="Y17" s="227"/>
      <x:c r="Z17" s="227"/>
    </x:row>
    <x:row r="18">
      <x:c r="A18" s="229" t="str">
        <x:v>Institutional case</x:v>
      </x:c>
      <x:c r="B18" s="229" t="str">
        <x:v>Institutional case</x:v>
      </x:c>
      <x:c r="C18" s="229" t="str">
        <x:v>Institutional case</x:v>
      </x:c>
      <x:c r="D18" s="229" t="str">
        <x:v>€4.0M assumed in March 2027</x:v>
      </x:c>
      <x:c r="E18" s="229" t="str">
        <x:v>€4.0M assumed in March 2027</x:v>
      </x:c>
      <x:c r="F18" s="229" t="str">
        <x:v>€4.0M assumed in March 2027</x:v>
      </x:c>
      <x:c r="G18" s="229" t="str">
        <x:v>€4.0M assumed in March 2027</x:v>
      </x:c>
      <x:c r="H18" s="229" t="str">
        <x:v>€4.0M assumed in March 2027</x:v>
      </x:c>
      <x:c r="I18" s="227"/>
      <x:c r="J18" s="227"/>
      <x:c r="K18" s="227"/>
      <x:c r="L18" s="227"/>
      <x:c r="M18" s="227"/>
      <x:c r="N18" s="227"/>
      <x:c r="O18" s="227"/>
      <x:c r="P18" s="227"/>
      <x:c r="Q18" s="227"/>
      <x:c r="R18" s="227"/>
      <x:c r="S18" s="227"/>
      <x:c r="T18" s="227"/>
      <x:c r="U18" s="227"/>
      <x:c r="V18" s="227"/>
      <x:c r="W18" s="227"/>
      <x:c r="X18" s="227"/>
      <x:c r="Y18" s="227"/>
      <x:c r="Z18" s="227"/>
    </x:row>
    <x:row r="19">
      <x:c r="A19" s="229"/>
      <x:c r="B19" s="229"/>
      <x:c r="C19" s="229"/>
      <x:c r="D19" s="229"/>
      <x:c r="E19" s="229"/>
      <x:c r="F19" s="229"/>
      <x:c r="G19" s="229"/>
      <x:c r="H19" s="229"/>
      <x:c r="I19" s="227"/>
      <x:c r="J19" s="227"/>
      <x:c r="K19" s="227"/>
      <x:c r="L19" s="227"/>
      <x:c r="M19" s="227"/>
      <x:c r="N19" s="227"/>
      <x:c r="O19" s="227"/>
      <x:c r="P19" s="227"/>
      <x:c r="Q19" s="227"/>
      <x:c r="R19" s="227"/>
      <x:c r="S19" s="227"/>
      <x:c r="T19" s="227"/>
      <x:c r="U19" s="227"/>
      <x:c r="V19" s="227"/>
      <x:c r="W19" s="227"/>
      <x:c r="X19" s="227"/>
      <x:c r="Y19" s="227"/>
      <x:c r="Z19" s="227"/>
    </x:row>
    <x:row r="20">
      <x:c r="A20" s="217" t="str">
        <x:v>Management forecast for investor review. Operating assumptions remain editable. The professional version includes explicit personnel/OPEX decomposition, post-500 cost scaling, D&amp;A, corporate-tax provision and working-capital commitments. VAT/import VAT, additional rights royalties and final tax-payment timing remain diligence items.</x:v>
      </x:c>
      <x:c r="B20" s="217"/>
      <x:c r="C20" s="217"/>
      <x:c r="D20" s="217"/>
      <x:c r="E20" s="217"/>
      <x:c r="F20" s="217"/>
      <x:c r="G20" s="217"/>
      <x:c r="H20" s="217"/>
      <x:c r="I20" s="227"/>
      <x:c r="J20" s="227"/>
      <x:c r="K20" s="227"/>
      <x:c r="L20" s="227"/>
      <x:c r="M20" s="227"/>
      <x:c r="N20" s="227"/>
      <x:c r="O20" s="227"/>
      <x:c r="P20" s="227"/>
      <x:c r="Q20" s="227"/>
      <x:c r="R20" s="227"/>
      <x:c r="S20" s="227"/>
      <x:c r="T20" s="227"/>
      <x:c r="U20" s="227"/>
      <x:c r="V20" s="227"/>
      <x:c r="W20" s="227"/>
      <x:c r="X20" s="227"/>
      <x:c r="Y20" s="227"/>
      <x:c r="Z20" s="227"/>
    </x:row>
    <x:row r="21">
      <x:c r="A21" s="217"/>
      <x:c r="B21" s="217"/>
      <x:c r="C21" s="217"/>
      <x:c r="D21" s="217"/>
      <x:c r="E21" s="217"/>
      <x:c r="F21" s="217"/>
      <x:c r="G21" s="217"/>
      <x:c r="H21" s="217"/>
      <x:c r="I21" s="227"/>
      <x:c r="J21" s="227"/>
      <x:c r="K21" s="227"/>
      <x:c r="L21" s="227"/>
      <x:c r="M21" s="227"/>
      <x:c r="N21" s="227"/>
      <x:c r="O21" s="227"/>
      <x:c r="P21" s="227"/>
      <x:c r="Q21" s="227"/>
      <x:c r="R21" s="227"/>
      <x:c r="S21" s="227"/>
      <x:c r="T21" s="227"/>
      <x:c r="U21" s="227"/>
      <x:c r="V21" s="227"/>
      <x:c r="W21" s="227"/>
      <x:c r="X21" s="227"/>
      <x:c r="Y21" s="227"/>
      <x:c r="Z21" s="227"/>
    </x:row>
    <x:row r="22">
      <x:c r="A22" s="217"/>
      <x:c r="B22" s="217"/>
      <x:c r="C22" s="217"/>
      <x:c r="D22" s="217"/>
      <x:c r="E22" s="217"/>
      <x:c r="F22" s="217"/>
      <x:c r="G22" s="217"/>
      <x:c r="H22" s="217"/>
      <x:c r="I22" s="227"/>
      <x:c r="J22" s="227"/>
      <x:c r="K22" s="227"/>
      <x:c r="L22" s="227"/>
      <x:c r="M22" s="227"/>
      <x:c r="N22" s="227"/>
      <x:c r="O22" s="227"/>
      <x:c r="P22" s="227"/>
      <x:c r="Q22" s="227"/>
      <x:c r="R22" s="227"/>
      <x:c r="S22" s="227"/>
      <x:c r="T22" s="227"/>
      <x:c r="U22" s="227"/>
      <x:c r="V22" s="227"/>
      <x:c r="W22" s="227"/>
      <x:c r="X22" s="227"/>
      <x:c r="Y22" s="227"/>
      <x:c r="Z22" s="227"/>
    </x:row>
    <x:row r="23">
      <x:c r="A23" s="217"/>
      <x:c r="B23" s="217"/>
      <x:c r="C23" s="217"/>
      <x:c r="D23" s="217"/>
      <x:c r="E23" s="217"/>
      <x:c r="F23" s="217"/>
      <x:c r="G23" s="217"/>
      <x:c r="H23" s="217"/>
      <x:c r="I23" s="227"/>
      <x:c r="J23" s="227"/>
      <x:c r="K23" s="227"/>
      <x:c r="L23" s="227"/>
      <x:c r="M23" s="227"/>
      <x:c r="N23" s="227"/>
      <x:c r="O23" s="227"/>
      <x:c r="P23" s="227"/>
      <x:c r="Q23" s="227"/>
      <x:c r="R23" s="227"/>
      <x:c r="S23" s="227"/>
      <x:c r="T23" s="227"/>
      <x:c r="U23" s="227"/>
      <x:c r="V23" s="227"/>
      <x:c r="W23" s="227"/>
      <x:c r="X23" s="227"/>
      <x:c r="Y23" s="227"/>
      <x:c r="Z23" s="227"/>
    </x:row>
    <x:row r="24">
      <x:c r="A24" s="229"/>
      <x:c r="B24" s="229"/>
      <x:c r="C24" s="229"/>
      <x:c r="D24" s="229"/>
      <x:c r="E24" s="229"/>
      <x:c r="F24" s="229"/>
      <x:c r="G24" s="229"/>
      <x:c r="H24" s="229"/>
      <x:c r="I24" s="227"/>
      <x:c r="J24" s="227"/>
      <x:c r="K24" s="227"/>
      <x:c r="L24" s="227"/>
      <x:c r="M24" s="227"/>
      <x:c r="N24" s="227"/>
      <x:c r="O24" s="227"/>
      <x:c r="P24" s="227"/>
      <x:c r="Q24" s="227"/>
      <x:c r="R24" s="227"/>
      <x:c r="S24" s="227"/>
      <x:c r="T24" s="227"/>
      <x:c r="U24" s="227"/>
      <x:c r="V24" s="227"/>
      <x:c r="W24" s="227"/>
      <x:c r="X24" s="227"/>
      <x:c r="Y24" s="227"/>
      <x:c r="Z24" s="227"/>
    </x:row>
    <x:row r="25">
      <x:c r="A25" s="230" t="str">
        <x:v>CONFIDENTIAL · MANAGEMENT FORECAST · NOT AUDITED · FINAL VALIDATED MODEL</x:v>
      </x:c>
      <x:c r="B25" s="230"/>
      <x:c r="C25" s="230"/>
      <x:c r="D25" s="230"/>
      <x:c r="E25" s="230"/>
      <x:c r="F25" s="230"/>
      <x:c r="G25" s="230"/>
      <x:c r="H25" s="230"/>
      <x:c r="I25" s="227"/>
      <x:c r="J25" s="227"/>
      <x:c r="K25" s="227"/>
      <x:c r="L25" s="227"/>
      <x:c r="M25" s="227"/>
      <x:c r="N25" s="227"/>
      <x:c r="O25" s="227"/>
      <x:c r="P25" s="227"/>
      <x:c r="Q25" s="227"/>
      <x:c r="R25" s="227"/>
      <x:c r="S25" s="227"/>
      <x:c r="T25" s="227"/>
      <x:c r="U25" s="227"/>
      <x:c r="V25" s="227"/>
      <x:c r="W25" s="227"/>
      <x:c r="X25" s="227"/>
      <x:c r="Y25" s="227"/>
      <x:c r="Z25" s="227"/>
    </x:row>
    <x:row r="26">
      <x:c r="A26" s="229"/>
      <x:c r="B26" s="229"/>
      <x:c r="C26" s="229"/>
      <x:c r="D26" s="229"/>
      <x:c r="E26" s="229"/>
      <x:c r="F26" s="229"/>
      <x:c r="G26" s="229"/>
      <x:c r="H26" s="229"/>
      <x:c r="I26" s="227"/>
      <x:c r="J26" s="227"/>
      <x:c r="K26" s="227"/>
      <x:c r="L26" s="227"/>
      <x:c r="M26" s="227"/>
      <x:c r="N26" s="227"/>
      <x:c r="O26" s="227"/>
      <x:c r="P26" s="227"/>
      <x:c r="Q26" s="227"/>
      <x:c r="R26" s="227"/>
      <x:c r="S26" s="227"/>
      <x:c r="T26" s="227"/>
      <x:c r="U26" s="227"/>
      <x:c r="V26" s="227"/>
      <x:c r="W26" s="227"/>
      <x:c r="X26" s="227"/>
      <x:c r="Y26" s="227"/>
      <x:c r="Z26" s="227"/>
    </x:row>
    <x:row r="27">
      <x:c r="A27" s="229"/>
      <x:c r="B27" s="229"/>
      <x:c r="C27" s="229"/>
      <x:c r="D27" s="229"/>
      <x:c r="E27" s="229"/>
      <x:c r="F27" s="229"/>
      <x:c r="G27" s="229"/>
      <x:c r="H27" s="229"/>
      <x:c r="I27" s="227"/>
      <x:c r="J27" s="227"/>
      <x:c r="K27" s="227"/>
      <x:c r="L27" s="227"/>
      <x:c r="M27" s="227"/>
      <x:c r="N27" s="227"/>
      <x:c r="O27" s="227"/>
      <x:c r="P27" s="227"/>
      <x:c r="Q27" s="227"/>
      <x:c r="R27" s="227"/>
      <x:c r="S27" s="227"/>
      <x:c r="T27" s="227"/>
      <x:c r="U27" s="227"/>
      <x:c r="V27" s="227"/>
      <x:c r="W27" s="227"/>
      <x:c r="X27" s="227"/>
      <x:c r="Y27" s="227"/>
      <x:c r="Z27" s="227"/>
    </x:row>
    <x:row r="28">
      <x:c r="A28" s="229"/>
      <x:c r="B28" s="229"/>
      <x:c r="C28" s="229"/>
      <x:c r="D28" s="229"/>
      <x:c r="E28" s="229"/>
      <x:c r="F28" s="229"/>
      <x:c r="G28" s="229"/>
      <x:c r="H28" s="229"/>
      <x:c r="I28" s="227"/>
      <x:c r="J28" s="227"/>
      <x:c r="K28" s="227"/>
      <x:c r="L28" s="227"/>
      <x:c r="M28" s="227"/>
      <x:c r="N28" s="227"/>
      <x:c r="O28" s="227"/>
      <x:c r="P28" s="227"/>
      <x:c r="Q28" s="227"/>
      <x:c r="R28" s="227"/>
      <x:c r="S28" s="227"/>
      <x:c r="T28" s="227"/>
      <x:c r="U28" s="227"/>
      <x:c r="V28" s="227"/>
      <x:c r="W28" s="227"/>
      <x:c r="X28" s="227"/>
      <x:c r="Y28" s="227"/>
      <x:c r="Z28" s="227"/>
    </x:row>
    <x:row r="29">
      <x:c r="A29" s="227"/>
      <x:c r="B29" s="227"/>
      <x:c r="C29" s="227"/>
      <x:c r="D29" s="227"/>
      <x:c r="E29" s="227"/>
      <x:c r="F29" s="227"/>
      <x:c r="G29" s="227"/>
      <x:c r="H29" s="227"/>
      <x:c r="I29" s="227"/>
      <x:c r="J29" s="227"/>
      <x:c r="K29" s="227"/>
      <x:c r="L29" s="227"/>
      <x:c r="M29" s="227"/>
      <x:c r="N29" s="227"/>
      <x:c r="O29" s="227"/>
      <x:c r="P29" s="227"/>
      <x:c r="Q29" s="227"/>
      <x:c r="R29" s="227"/>
      <x:c r="S29" s="227"/>
      <x:c r="T29" s="227"/>
      <x:c r="U29" s="227"/>
      <x:c r="V29" s="227"/>
      <x:c r="W29" s="227"/>
      <x:c r="X29" s="227"/>
      <x:c r="Y29" s="227"/>
      <x:c r="Z29" s="227"/>
    </x:row>
    <x:row r="30">
      <x:c r="A30" s="227"/>
      <x:c r="B30" s="227"/>
      <x:c r="C30" s="227"/>
      <x:c r="D30" s="227"/>
      <x:c r="E30" s="227"/>
      <x:c r="F30" s="227"/>
      <x:c r="G30" s="227"/>
      <x:c r="H30" s="227"/>
      <x:c r="I30" s="227"/>
      <x:c r="J30" s="227"/>
      <x:c r="K30" s="227"/>
      <x:c r="L30" s="227"/>
      <x:c r="M30" s="227"/>
      <x:c r="N30" s="227"/>
      <x:c r="O30" s="227"/>
      <x:c r="P30" s="227"/>
      <x:c r="Q30" s="227"/>
      <x:c r="R30" s="227"/>
      <x:c r="S30" s="227"/>
      <x:c r="T30" s="227"/>
      <x:c r="U30" s="227"/>
      <x:c r="V30" s="227"/>
      <x:c r="W30" s="227"/>
      <x:c r="X30" s="227"/>
      <x:c r="Y30" s="227"/>
      <x:c r="Z30" s="227"/>
    </x:row>
    <x:row r="31">
      <x:c r="A31" s="227"/>
      <x:c r="B31" s="227"/>
      <x:c r="C31" s="227"/>
      <x:c r="D31" s="227"/>
      <x:c r="E31" s="227"/>
      <x:c r="F31" s="227"/>
      <x:c r="G31" s="227"/>
      <x:c r="H31" s="227"/>
      <x:c r="I31" s="227"/>
      <x:c r="J31" s="227"/>
      <x:c r="K31" s="227"/>
      <x:c r="L31" s="227"/>
      <x:c r="M31" s="227"/>
      <x:c r="N31" s="227"/>
      <x:c r="O31" s="227"/>
      <x:c r="P31" s="227"/>
      <x:c r="Q31" s="227"/>
      <x:c r="R31" s="227"/>
      <x:c r="S31" s="227"/>
      <x:c r="T31" s="227"/>
      <x:c r="U31" s="227"/>
      <x:c r="V31" s="227"/>
      <x:c r="W31" s="227"/>
      <x:c r="X31" s="227"/>
      <x:c r="Y31" s="227"/>
      <x:c r="Z31" s="227"/>
    </x:row>
    <x:row r="32">
      <x:c r="A32" s="227"/>
      <x:c r="B32" s="227"/>
      <x:c r="C32" s="227"/>
      <x:c r="D32" s="227"/>
      <x:c r="E32" s="227"/>
      <x:c r="F32" s="227"/>
      <x:c r="G32" s="227"/>
      <x:c r="H32" s="227"/>
      <x:c r="I32" s="227"/>
      <x:c r="J32" s="227"/>
      <x:c r="K32" s="227"/>
      <x:c r="L32" s="227"/>
      <x:c r="M32" s="227"/>
      <x:c r="N32" s="227"/>
      <x:c r="O32" s="227"/>
      <x:c r="P32" s="227"/>
      <x:c r="Q32" s="227"/>
      <x:c r="R32" s="227"/>
      <x:c r="S32" s="227"/>
      <x:c r="T32" s="227"/>
      <x:c r="U32" s="227"/>
      <x:c r="V32" s="227"/>
      <x:c r="W32" s="227"/>
      <x:c r="X32" s="227"/>
      <x:c r="Y32" s="227"/>
      <x:c r="Z32" s="227"/>
    </x:row>
    <x:row r="33">
      <x:c r="A33" s="227"/>
      <x:c r="B33" s="227"/>
      <x:c r="C33" s="227"/>
      <x:c r="D33" s="227"/>
      <x:c r="E33" s="227"/>
      <x:c r="F33" s="227"/>
      <x:c r="G33" s="227"/>
      <x:c r="H33" s="227"/>
      <x:c r="I33" s="227"/>
      <x:c r="J33" s="227"/>
      <x:c r="K33" s="227"/>
      <x:c r="L33" s="227"/>
      <x:c r="M33" s="227"/>
      <x:c r="N33" s="227"/>
      <x:c r="O33" s="227"/>
      <x:c r="P33" s="227"/>
      <x:c r="Q33" s="227"/>
      <x:c r="R33" s="227"/>
      <x:c r="S33" s="227"/>
      <x:c r="T33" s="227"/>
      <x:c r="U33" s="227"/>
      <x:c r="V33" s="227"/>
      <x:c r="W33" s="227"/>
      <x:c r="X33" s="227"/>
      <x:c r="Y33" s="227"/>
      <x:c r="Z33" s="227"/>
    </x:row>
    <x:row r="34">
      <x:c r="A34" s="227"/>
      <x:c r="B34" s="227"/>
      <x:c r="C34" s="227"/>
      <x:c r="D34" s="227"/>
      <x:c r="E34" s="227"/>
      <x:c r="F34" s="227"/>
      <x:c r="G34" s="227"/>
      <x:c r="H34" s="227"/>
      <x:c r="I34" s="227"/>
      <x:c r="J34" s="227"/>
      <x:c r="K34" s="227"/>
      <x:c r="L34" s="227"/>
      <x:c r="M34" s="227"/>
      <x:c r="N34" s="227"/>
      <x:c r="O34" s="227"/>
      <x:c r="P34" s="227"/>
      <x:c r="Q34" s="227"/>
      <x:c r="R34" s="227"/>
      <x:c r="S34" s="227"/>
      <x:c r="T34" s="227"/>
      <x:c r="U34" s="227"/>
      <x:c r="V34" s="227"/>
      <x:c r="W34" s="227"/>
      <x:c r="X34" s="227"/>
      <x:c r="Y34" s="227"/>
      <x:c r="Z34" s="227"/>
    </x:row>
    <x:row r="35">
      <x:c r="A35" s="227"/>
      <x:c r="B35" s="227"/>
      <x:c r="C35" s="227"/>
      <x:c r="D35" s="227"/>
      <x:c r="E35" s="227"/>
      <x:c r="F35" s="227"/>
      <x:c r="G35" s="227"/>
      <x:c r="H35" s="227"/>
      <x:c r="I35" s="227"/>
      <x:c r="J35" s="227"/>
      <x:c r="K35" s="227"/>
      <x:c r="L35" s="227"/>
      <x:c r="M35" s="227"/>
      <x:c r="N35" s="227"/>
      <x:c r="O35" s="227"/>
      <x:c r="P35" s="227"/>
      <x:c r="Q35" s="227"/>
      <x:c r="R35" s="227"/>
      <x:c r="S35" s="227"/>
      <x:c r="T35" s="227"/>
      <x:c r="U35" s="227"/>
      <x:c r="V35" s="227"/>
      <x:c r="W35" s="227"/>
      <x:c r="X35" s="227"/>
      <x:c r="Y35" s="227"/>
      <x:c r="Z35" s="227"/>
    </x:row>
    <x:row r="36">
      <x:c r="A36" s="227"/>
      <x:c r="B36" s="227"/>
      <x:c r="C36" s="227"/>
      <x:c r="D36" s="227"/>
      <x:c r="E36" s="227"/>
      <x:c r="F36" s="227"/>
      <x:c r="G36" s="227"/>
      <x:c r="H36" s="227"/>
      <x:c r="I36" s="227"/>
      <x:c r="J36" s="227"/>
      <x:c r="K36" s="227"/>
      <x:c r="L36" s="227"/>
      <x:c r="M36" s="227"/>
      <x:c r="N36" s="227"/>
      <x:c r="O36" s="227"/>
      <x:c r="P36" s="227"/>
      <x:c r="Q36" s="227"/>
      <x:c r="R36" s="227"/>
      <x:c r="S36" s="227"/>
      <x:c r="T36" s="227"/>
      <x:c r="U36" s="227"/>
      <x:c r="V36" s="227"/>
      <x:c r="W36" s="227"/>
      <x:c r="X36" s="227"/>
      <x:c r="Y36" s="227"/>
      <x:c r="Z36" s="227"/>
    </x:row>
    <x:row r="37">
      <x:c r="A37" s="227"/>
      <x:c r="B37" s="227"/>
      <x:c r="C37" s="227"/>
      <x:c r="D37" s="227"/>
      <x:c r="E37" s="227"/>
      <x:c r="F37" s="227"/>
      <x:c r="G37" s="227"/>
      <x:c r="H37" s="227"/>
      <x:c r="I37" s="227"/>
      <x:c r="J37" s="227"/>
      <x:c r="K37" s="227"/>
      <x:c r="L37" s="227"/>
      <x:c r="M37" s="227"/>
      <x:c r="N37" s="227"/>
      <x:c r="O37" s="227"/>
      <x:c r="P37" s="227"/>
      <x:c r="Q37" s="227"/>
      <x:c r="R37" s="227"/>
      <x:c r="S37" s="227"/>
      <x:c r="T37" s="227"/>
      <x:c r="U37" s="227"/>
      <x:c r="V37" s="227"/>
      <x:c r="W37" s="227"/>
      <x:c r="X37" s="227"/>
      <x:c r="Y37" s="227"/>
      <x:c r="Z37" s="227"/>
    </x:row>
    <x:row r="38">
      <x:c r="A38" s="227"/>
      <x:c r="B38" s="227"/>
      <x:c r="C38" s="227"/>
      <x:c r="D38" s="227"/>
      <x:c r="E38" s="227"/>
      <x:c r="F38" s="227"/>
      <x:c r="G38" s="227"/>
      <x:c r="H38" s="227"/>
      <x:c r="I38" s="227"/>
      <x:c r="J38" s="227"/>
      <x:c r="K38" s="227"/>
      <x:c r="L38" s="227"/>
      <x:c r="M38" s="227"/>
      <x:c r="N38" s="227"/>
      <x:c r="O38" s="227"/>
      <x:c r="P38" s="227"/>
      <x:c r="Q38" s="227"/>
      <x:c r="R38" s="227"/>
      <x:c r="S38" s="227"/>
      <x:c r="T38" s="227"/>
      <x:c r="U38" s="227"/>
      <x:c r="V38" s="227"/>
      <x:c r="W38" s="227"/>
      <x:c r="X38" s="227"/>
      <x:c r="Y38" s="227"/>
      <x:c r="Z38" s="227"/>
    </x:row>
    <x:row r="39">
      <x:c r="A39" s="227"/>
      <x:c r="B39" s="227"/>
      <x:c r="C39" s="227"/>
      <x:c r="D39" s="227"/>
      <x:c r="E39" s="227"/>
      <x:c r="F39" s="227"/>
      <x:c r="G39" s="227"/>
      <x:c r="H39" s="227"/>
      <x:c r="I39" s="227"/>
      <x:c r="J39" s="227"/>
      <x:c r="K39" s="227"/>
      <x:c r="L39" s="227"/>
      <x:c r="M39" s="227"/>
      <x:c r="N39" s="227"/>
      <x:c r="O39" s="227"/>
      <x:c r="P39" s="227"/>
      <x:c r="Q39" s="227"/>
      <x:c r="R39" s="227"/>
      <x:c r="S39" s="227"/>
      <x:c r="T39" s="227"/>
      <x:c r="U39" s="227"/>
      <x:c r="V39" s="227"/>
      <x:c r="W39" s="227"/>
      <x:c r="X39" s="227"/>
      <x:c r="Y39" s="227"/>
      <x:c r="Z39" s="227"/>
    </x:row>
    <x:row r="40">
      <x:c r="A40" s="227"/>
      <x:c r="B40" s="227"/>
      <x:c r="C40" s="227"/>
      <x:c r="D40" s="227"/>
      <x:c r="E40" s="227"/>
      <x:c r="F40" s="227"/>
      <x:c r="G40" s="227"/>
      <x:c r="H40" s="227"/>
      <x:c r="I40" s="227"/>
      <x:c r="J40" s="227"/>
      <x:c r="K40" s="227"/>
      <x:c r="L40" s="227"/>
      <x:c r="M40" s="227"/>
      <x:c r="N40" s="227"/>
      <x:c r="O40" s="227"/>
      <x:c r="P40" s="227"/>
      <x:c r="Q40" s="227"/>
      <x:c r="R40" s="227"/>
      <x:c r="S40" s="227"/>
      <x:c r="T40" s="227"/>
      <x:c r="U40" s="227"/>
      <x:c r="V40" s="227"/>
      <x:c r="W40" s="227"/>
      <x:c r="X40" s="227"/>
      <x:c r="Y40" s="227"/>
      <x:c r="Z40" s="227"/>
    </x:row>
    <x:row r="41">
      <x:c r="A41" s="227"/>
      <x:c r="B41" s="227"/>
      <x:c r="C41" s="227"/>
      <x:c r="D41" s="227"/>
      <x:c r="E41" s="227"/>
      <x:c r="F41" s="227"/>
      <x:c r="G41" s="227"/>
      <x:c r="H41" s="227"/>
      <x:c r="I41" s="227"/>
      <x:c r="J41" s="227"/>
      <x:c r="K41" s="227"/>
      <x:c r="L41" s="227"/>
      <x:c r="M41" s="227"/>
      <x:c r="N41" s="227"/>
      <x:c r="O41" s="227"/>
      <x:c r="P41" s="227"/>
      <x:c r="Q41" s="227"/>
      <x:c r="R41" s="227"/>
      <x:c r="S41" s="227"/>
      <x:c r="T41" s="227"/>
      <x:c r="U41" s="227"/>
      <x:c r="V41" s="227"/>
      <x:c r="W41" s="227"/>
      <x:c r="X41" s="227"/>
      <x:c r="Y41" s="227"/>
      <x:c r="Z41" s="227"/>
    </x:row>
    <x:row r="42">
      <x:c r="A42" s="227"/>
      <x:c r="B42" s="227"/>
      <x:c r="C42" s="227"/>
      <x:c r="D42" s="227"/>
      <x:c r="E42" s="227"/>
      <x:c r="F42" s="227"/>
      <x:c r="G42" s="227"/>
      <x:c r="H42" s="227"/>
      <x:c r="I42" s="227"/>
      <x:c r="J42" s="227"/>
      <x:c r="K42" s="227"/>
      <x:c r="L42" s="227"/>
      <x:c r="M42" s="227"/>
      <x:c r="N42" s="227"/>
      <x:c r="O42" s="227"/>
      <x:c r="P42" s="227"/>
      <x:c r="Q42" s="227"/>
      <x:c r="R42" s="227"/>
      <x:c r="S42" s="227"/>
      <x:c r="T42" s="227"/>
      <x:c r="U42" s="227"/>
      <x:c r="V42" s="227"/>
      <x:c r="W42" s="227"/>
      <x:c r="X42" s="227"/>
      <x:c r="Y42" s="227"/>
      <x:c r="Z42" s="227"/>
    </x:row>
    <x:row r="43">
      <x:c r="A43" s="227"/>
      <x:c r="B43" s="227"/>
      <x:c r="C43" s="227"/>
      <x:c r="D43" s="227"/>
      <x:c r="E43" s="227"/>
      <x:c r="F43" s="227"/>
      <x:c r="G43" s="227"/>
      <x:c r="H43" s="227"/>
      <x:c r="I43" s="227"/>
      <x:c r="J43" s="227"/>
      <x:c r="K43" s="227"/>
      <x:c r="L43" s="227"/>
      <x:c r="M43" s="227"/>
      <x:c r="N43" s="227"/>
      <x:c r="O43" s="227"/>
      <x:c r="P43" s="227"/>
      <x:c r="Q43" s="227"/>
      <x:c r="R43" s="227"/>
      <x:c r="S43" s="227"/>
      <x:c r="T43" s="227"/>
      <x:c r="U43" s="227"/>
      <x:c r="V43" s="227"/>
      <x:c r="W43" s="227"/>
      <x:c r="X43" s="227"/>
      <x:c r="Y43" s="227"/>
      <x:c r="Z43" s="227"/>
    </x:row>
    <x:row r="44">
      <x:c r="A44" s="227"/>
      <x:c r="B44" s="227"/>
      <x:c r="C44" s="227"/>
      <x:c r="D44" s="227"/>
      <x:c r="E44" s="227"/>
      <x:c r="F44" s="227"/>
      <x:c r="G44" s="227"/>
      <x:c r="H44" s="227"/>
      <x:c r="I44" s="227"/>
      <x:c r="J44" s="227"/>
      <x:c r="K44" s="227"/>
      <x:c r="L44" s="227"/>
      <x:c r="M44" s="227"/>
      <x:c r="N44" s="227"/>
      <x:c r="O44" s="227"/>
      <x:c r="P44" s="227"/>
      <x:c r="Q44" s="227"/>
      <x:c r="R44" s="227"/>
      <x:c r="S44" s="227"/>
      <x:c r="T44" s="227"/>
      <x:c r="U44" s="227"/>
      <x:c r="V44" s="227"/>
      <x:c r="W44" s="227"/>
      <x:c r="X44" s="227"/>
      <x:c r="Y44" s="227"/>
      <x:c r="Z44" s="227"/>
    </x:row>
    <x:row r="45">
      <x:c r="A45" s="227"/>
      <x:c r="B45" s="227"/>
      <x:c r="C45" s="227"/>
      <x:c r="D45" s="227"/>
      <x:c r="E45" s="227"/>
      <x:c r="F45" s="227"/>
      <x:c r="G45" s="227"/>
      <x:c r="H45" s="227"/>
      <x:c r="I45" s="227"/>
      <x:c r="J45" s="227"/>
      <x:c r="K45" s="227"/>
      <x:c r="L45" s="227"/>
      <x:c r="M45" s="227"/>
      <x:c r="N45" s="227"/>
      <x:c r="O45" s="227"/>
      <x:c r="P45" s="227"/>
      <x:c r="Q45" s="227"/>
      <x:c r="R45" s="227"/>
      <x:c r="S45" s="227"/>
      <x:c r="T45" s="227"/>
      <x:c r="U45" s="227"/>
      <x:c r="V45" s="227"/>
      <x:c r="W45" s="227"/>
      <x:c r="X45" s="227"/>
      <x:c r="Y45" s="227"/>
      <x:c r="Z45" s="227"/>
    </x:row>
    <x:row r="46">
      <x:c r="A46" s="227"/>
      <x:c r="B46" s="227"/>
      <x:c r="C46" s="227"/>
      <x:c r="D46" s="227"/>
      <x:c r="E46" s="227"/>
      <x:c r="F46" s="227"/>
      <x:c r="G46" s="227"/>
      <x:c r="H46" s="227"/>
      <x:c r="I46" s="227"/>
      <x:c r="J46" s="227"/>
      <x:c r="K46" s="227"/>
      <x:c r="L46" s="227"/>
      <x:c r="M46" s="227"/>
      <x:c r="N46" s="227"/>
      <x:c r="O46" s="227"/>
      <x:c r="P46" s="227"/>
      <x:c r="Q46" s="227"/>
      <x:c r="R46" s="227"/>
      <x:c r="S46" s="227"/>
      <x:c r="T46" s="227"/>
      <x:c r="U46" s="227"/>
      <x:c r="V46" s="227"/>
      <x:c r="W46" s="227"/>
      <x:c r="X46" s="227"/>
      <x:c r="Y46" s="227"/>
      <x:c r="Z46" s="227"/>
    </x:row>
    <x:row r="47">
      <x:c r="A47" s="227"/>
      <x:c r="B47" s="227"/>
      <x:c r="C47" s="227"/>
      <x:c r="D47" s="227"/>
      <x:c r="E47" s="227"/>
      <x:c r="F47" s="227"/>
      <x:c r="G47" s="227"/>
      <x:c r="H47" s="227"/>
      <x:c r="I47" s="227"/>
      <x:c r="J47" s="227"/>
      <x:c r="K47" s="227"/>
      <x:c r="L47" s="227"/>
      <x:c r="M47" s="227"/>
      <x:c r="N47" s="227"/>
      <x:c r="O47" s="227"/>
      <x:c r="P47" s="227"/>
      <x:c r="Q47" s="227"/>
      <x:c r="R47" s="227"/>
      <x:c r="S47" s="227"/>
      <x:c r="T47" s="227"/>
      <x:c r="U47" s="227"/>
      <x:c r="V47" s="227"/>
      <x:c r="W47" s="227"/>
      <x:c r="X47" s="227"/>
      <x:c r="Y47" s="227"/>
      <x:c r="Z47" s="227"/>
    </x:row>
    <x:row r="48">
      <x:c r="A48" s="227"/>
      <x:c r="B48" s="227"/>
      <x:c r="C48" s="227"/>
      <x:c r="D48" s="227"/>
      <x:c r="E48" s="227"/>
      <x:c r="F48" s="227"/>
      <x:c r="G48" s="227"/>
      <x:c r="H48" s="227"/>
      <x:c r="I48" s="227"/>
      <x:c r="J48" s="227"/>
      <x:c r="K48" s="227"/>
      <x:c r="L48" s="227"/>
      <x:c r="M48" s="227"/>
      <x:c r="N48" s="227"/>
      <x:c r="O48" s="227"/>
      <x:c r="P48" s="227"/>
      <x:c r="Q48" s="227"/>
      <x:c r="R48" s="227"/>
      <x:c r="S48" s="227"/>
      <x:c r="T48" s="227"/>
      <x:c r="U48" s="227"/>
      <x:c r="V48" s="227"/>
      <x:c r="W48" s="227"/>
      <x:c r="X48" s="227"/>
      <x:c r="Y48" s="227"/>
      <x:c r="Z48" s="227"/>
    </x:row>
    <x:row r="49">
      <x:c r="A49" s="227"/>
      <x:c r="B49" s="227"/>
      <x:c r="C49" s="227"/>
      <x:c r="D49" s="227"/>
      <x:c r="E49" s="227"/>
      <x:c r="F49" s="227"/>
      <x:c r="G49" s="227"/>
      <x:c r="H49" s="227"/>
      <x:c r="I49" s="227"/>
      <x:c r="J49" s="227"/>
      <x:c r="K49" s="227"/>
      <x:c r="L49" s="227"/>
      <x:c r="M49" s="227"/>
      <x:c r="N49" s="227"/>
      <x:c r="O49" s="227"/>
      <x:c r="P49" s="227"/>
      <x:c r="Q49" s="227"/>
      <x:c r="R49" s="227"/>
      <x:c r="S49" s="227"/>
      <x:c r="T49" s="227"/>
      <x:c r="U49" s="227"/>
      <x:c r="V49" s="227"/>
      <x:c r="W49" s="227"/>
      <x:c r="X49" s="227"/>
      <x:c r="Y49" s="227"/>
      <x:c r="Z49" s="227"/>
    </x:row>
    <x:row r="50">
      <x:c r="A50" s="227"/>
      <x:c r="B50" s="227"/>
      <x:c r="C50" s="227"/>
      <x:c r="D50" s="227"/>
      <x:c r="E50" s="227"/>
      <x:c r="F50" s="227"/>
      <x:c r="G50" s="227"/>
      <x:c r="H50" s="227"/>
      <x:c r="I50" s="227"/>
      <x:c r="J50" s="227"/>
      <x:c r="K50" s="227"/>
      <x:c r="L50" s="227"/>
      <x:c r="M50" s="227"/>
      <x:c r="N50" s="227"/>
      <x:c r="O50" s="227"/>
      <x:c r="P50" s="227"/>
      <x:c r="Q50" s="227"/>
      <x:c r="R50" s="227"/>
      <x:c r="S50" s="227"/>
      <x:c r="T50" s="227"/>
      <x:c r="U50" s="227"/>
      <x:c r="V50" s="227"/>
      <x:c r="W50" s="227"/>
      <x:c r="X50" s="227"/>
      <x:c r="Y50" s="227"/>
      <x:c r="Z50" s="227"/>
    </x:row>
    <x:row r="51">
      <x:c r="A51" s="227"/>
      <x:c r="B51" s="227"/>
      <x:c r="C51" s="227"/>
      <x:c r="D51" s="227"/>
      <x:c r="E51" s="227"/>
      <x:c r="F51" s="227"/>
      <x:c r="G51" s="227"/>
      <x:c r="H51" s="227"/>
      <x:c r="I51" s="227"/>
      <x:c r="J51" s="227"/>
      <x:c r="K51" s="227"/>
      <x:c r="L51" s="227"/>
      <x:c r="M51" s="227"/>
      <x:c r="N51" s="227"/>
      <x:c r="O51" s="227"/>
      <x:c r="P51" s="227"/>
      <x:c r="Q51" s="227"/>
      <x:c r="R51" s="227"/>
      <x:c r="S51" s="227"/>
      <x:c r="T51" s="227"/>
      <x:c r="U51" s="227"/>
      <x:c r="V51" s="227"/>
      <x:c r="W51" s="227"/>
      <x:c r="X51" s="227"/>
      <x:c r="Y51" s="227"/>
      <x:c r="Z51" s="227"/>
    </x:row>
    <x:row r="52">
      <x:c r="A52" s="227"/>
      <x:c r="B52" s="227"/>
      <x:c r="C52" s="227"/>
      <x:c r="D52" s="227"/>
      <x:c r="E52" s="227"/>
      <x:c r="F52" s="227"/>
      <x:c r="G52" s="227"/>
      <x:c r="H52" s="227"/>
      <x:c r="I52" s="227"/>
      <x:c r="J52" s="227"/>
      <x:c r="K52" s="227"/>
      <x:c r="L52" s="227"/>
      <x:c r="M52" s="227"/>
      <x:c r="N52" s="227"/>
      <x:c r="O52" s="227"/>
      <x:c r="P52" s="227"/>
      <x:c r="Q52" s="227"/>
      <x:c r="R52" s="227"/>
      <x:c r="S52" s="227"/>
      <x:c r="T52" s="227"/>
      <x:c r="U52" s="227"/>
      <x:c r="V52" s="227"/>
      <x:c r="W52" s="227"/>
      <x:c r="X52" s="227"/>
      <x:c r="Y52" s="227"/>
      <x:c r="Z52" s="227"/>
    </x:row>
    <x:row r="53">
      <x:c r="A53" s="227"/>
      <x:c r="B53" s="227"/>
      <x:c r="C53" s="227"/>
      <x:c r="D53" s="227"/>
      <x:c r="E53" s="227"/>
      <x:c r="F53" s="227"/>
      <x:c r="G53" s="227"/>
      <x:c r="H53" s="227"/>
      <x:c r="I53" s="227"/>
      <x:c r="J53" s="227"/>
      <x:c r="K53" s="227"/>
      <x:c r="L53" s="227"/>
      <x:c r="M53" s="227"/>
      <x:c r="N53" s="227"/>
      <x:c r="O53" s="227"/>
      <x:c r="P53" s="227"/>
      <x:c r="Q53" s="227"/>
      <x:c r="R53" s="227"/>
      <x:c r="S53" s="227"/>
      <x:c r="T53" s="227"/>
      <x:c r="U53" s="227"/>
      <x:c r="V53" s="227"/>
      <x:c r="W53" s="227"/>
      <x:c r="X53" s="227"/>
      <x:c r="Y53" s="227"/>
      <x:c r="Z53" s="227"/>
    </x:row>
    <x:row r="54">
      <x:c r="A54" s="227"/>
      <x:c r="B54" s="227"/>
      <x:c r="C54" s="227"/>
      <x:c r="D54" s="227"/>
      <x:c r="E54" s="227"/>
      <x:c r="F54" s="227"/>
      <x:c r="G54" s="227"/>
      <x:c r="H54" s="227"/>
      <x:c r="I54" s="227"/>
      <x:c r="J54" s="227"/>
      <x:c r="K54" s="227"/>
      <x:c r="L54" s="227"/>
      <x:c r="M54" s="227"/>
      <x:c r="N54" s="227"/>
      <x:c r="O54" s="227"/>
      <x:c r="P54" s="227"/>
      <x:c r="Q54" s="227"/>
      <x:c r="R54" s="227"/>
      <x:c r="S54" s="227"/>
      <x:c r="T54" s="227"/>
      <x:c r="U54" s="227"/>
      <x:c r="V54" s="227"/>
      <x:c r="W54" s="227"/>
      <x:c r="X54" s="227"/>
      <x:c r="Y54" s="227"/>
      <x:c r="Z54" s="227"/>
    </x:row>
    <x:row r="55">
      <x:c r="A55" s="227"/>
      <x:c r="B55" s="227"/>
      <x:c r="C55" s="227"/>
      <x:c r="D55" s="227"/>
      <x:c r="E55" s="227"/>
      <x:c r="F55" s="227"/>
      <x:c r="G55" s="227"/>
      <x:c r="H55" s="227"/>
      <x:c r="I55" s="227"/>
      <x:c r="J55" s="227"/>
      <x:c r="K55" s="227"/>
      <x:c r="L55" s="227"/>
      <x:c r="M55" s="227"/>
      <x:c r="N55" s="227"/>
      <x:c r="O55" s="227"/>
      <x:c r="P55" s="227"/>
      <x:c r="Q55" s="227"/>
      <x:c r="R55" s="227"/>
      <x:c r="S55" s="227"/>
      <x:c r="T55" s="227"/>
      <x:c r="U55" s="227"/>
      <x:c r="V55" s="227"/>
      <x:c r="W55" s="227"/>
      <x:c r="X55" s="227"/>
      <x:c r="Y55" s="227"/>
      <x:c r="Z55" s="227"/>
    </x:row>
    <x:row r="56">
      <x:c r="A56" s="227"/>
      <x:c r="B56" s="227"/>
      <x:c r="C56" s="227"/>
      <x:c r="D56" s="227"/>
      <x:c r="E56" s="227"/>
      <x:c r="F56" s="227"/>
      <x:c r="G56" s="227"/>
      <x:c r="H56" s="227"/>
      <x:c r="I56" s="227"/>
      <x:c r="J56" s="227"/>
      <x:c r="K56" s="227"/>
      <x:c r="L56" s="227"/>
      <x:c r="M56" s="227"/>
      <x:c r="N56" s="227"/>
      <x:c r="O56" s="227"/>
      <x:c r="P56" s="227"/>
      <x:c r="Q56" s="227"/>
      <x:c r="R56" s="227"/>
      <x:c r="S56" s="227"/>
      <x:c r="T56" s="227"/>
      <x:c r="U56" s="227"/>
      <x:c r="V56" s="227"/>
      <x:c r="W56" s="227"/>
      <x:c r="X56" s="227"/>
      <x:c r="Y56" s="227"/>
      <x:c r="Z56" s="227"/>
    </x:row>
    <x:row r="57">
      <x:c r="A57" s="227"/>
      <x:c r="B57" s="227"/>
      <x:c r="C57" s="227"/>
      <x:c r="D57" s="227"/>
      <x:c r="E57" s="227"/>
      <x:c r="F57" s="227"/>
      <x:c r="G57" s="227"/>
      <x:c r="H57" s="227"/>
      <x:c r="I57" s="227"/>
      <x:c r="J57" s="227"/>
      <x:c r="K57" s="227"/>
      <x:c r="L57" s="227"/>
      <x:c r="M57" s="227"/>
      <x:c r="N57" s="227"/>
      <x:c r="O57" s="227"/>
      <x:c r="P57" s="227"/>
      <x:c r="Q57" s="227"/>
      <x:c r="R57" s="227"/>
      <x:c r="S57" s="227"/>
      <x:c r="T57" s="227"/>
      <x:c r="U57" s="227"/>
      <x:c r="V57" s="227"/>
      <x:c r="W57" s="227"/>
      <x:c r="X57" s="227"/>
      <x:c r="Y57" s="227"/>
      <x:c r="Z57" s="227"/>
    </x:row>
    <x:row r="58">
      <x:c r="A58" s="227"/>
      <x:c r="B58" s="227"/>
      <x:c r="C58" s="227"/>
      <x:c r="D58" s="227"/>
      <x:c r="E58" s="227"/>
      <x:c r="F58" s="227"/>
      <x:c r="G58" s="227"/>
      <x:c r="H58" s="227"/>
      <x:c r="I58" s="227"/>
      <x:c r="J58" s="227"/>
      <x:c r="K58" s="227"/>
      <x:c r="L58" s="227"/>
      <x:c r="M58" s="227"/>
      <x:c r="N58" s="227"/>
      <x:c r="O58" s="227"/>
      <x:c r="P58" s="227"/>
      <x:c r="Q58" s="227"/>
      <x:c r="R58" s="227"/>
      <x:c r="S58" s="227"/>
      <x:c r="T58" s="227"/>
      <x:c r="U58" s="227"/>
      <x:c r="V58" s="227"/>
      <x:c r="W58" s="227"/>
      <x:c r="X58" s="227"/>
      <x:c r="Y58" s="227"/>
      <x:c r="Z58" s="227"/>
    </x:row>
    <x:row r="59">
      <x:c r="A59" s="227"/>
      <x:c r="B59" s="227"/>
      <x:c r="C59" s="227"/>
      <x:c r="D59" s="227"/>
      <x:c r="E59" s="227"/>
      <x:c r="F59" s="227"/>
      <x:c r="G59" s="227"/>
      <x:c r="H59" s="227"/>
      <x:c r="I59" s="227"/>
      <x:c r="J59" s="227"/>
      <x:c r="K59" s="227"/>
      <x:c r="L59" s="227"/>
      <x:c r="M59" s="227"/>
      <x:c r="N59" s="227"/>
      <x:c r="O59" s="227"/>
      <x:c r="P59" s="227"/>
      <x:c r="Q59" s="227"/>
      <x:c r="R59" s="227"/>
      <x:c r="S59" s="227"/>
      <x:c r="T59" s="227"/>
      <x:c r="U59" s="227"/>
      <x:c r="V59" s="227"/>
      <x:c r="W59" s="227"/>
      <x:c r="X59" s="227"/>
      <x:c r="Y59" s="227"/>
      <x:c r="Z59" s="227"/>
    </x:row>
    <x:row r="60">
      <x:c r="A60" s="227"/>
      <x:c r="B60" s="227"/>
      <x:c r="C60" s="227"/>
      <x:c r="D60" s="227"/>
      <x:c r="E60" s="227"/>
      <x:c r="F60" s="227"/>
      <x:c r="G60" s="227"/>
      <x:c r="H60" s="227"/>
      <x:c r="I60" s="227"/>
      <x:c r="J60" s="227"/>
      <x:c r="K60" s="227"/>
      <x:c r="L60" s="227"/>
      <x:c r="M60" s="227"/>
      <x:c r="N60" s="227"/>
      <x:c r="O60" s="227"/>
      <x:c r="P60" s="227"/>
      <x:c r="Q60" s="227"/>
      <x:c r="R60" s="227"/>
      <x:c r="S60" s="227"/>
      <x:c r="T60" s="227"/>
      <x:c r="U60" s="227"/>
      <x:c r="V60" s="227"/>
      <x:c r="W60" s="227"/>
      <x:c r="X60" s="227"/>
      <x:c r="Y60" s="227"/>
      <x:c r="Z60" s="227"/>
    </x:row>
    <x:row r="61">
      <x:c r="A61" s="227"/>
      <x:c r="B61" s="227"/>
      <x:c r="C61" s="227"/>
      <x:c r="D61" s="227"/>
      <x:c r="E61" s="227"/>
      <x:c r="F61" s="227"/>
      <x:c r="G61" s="227"/>
      <x:c r="H61" s="227"/>
      <x:c r="I61" s="227"/>
      <x:c r="J61" s="227"/>
      <x:c r="K61" s="227"/>
      <x:c r="L61" s="227"/>
      <x:c r="M61" s="227"/>
      <x:c r="N61" s="227"/>
      <x:c r="O61" s="227"/>
      <x:c r="P61" s="227"/>
      <x:c r="Q61" s="227"/>
      <x:c r="R61" s="227"/>
      <x:c r="S61" s="227"/>
      <x:c r="T61" s="227"/>
      <x:c r="U61" s="227"/>
      <x:c r="V61" s="227"/>
      <x:c r="W61" s="227"/>
      <x:c r="X61" s="227"/>
      <x:c r="Y61" s="227"/>
      <x:c r="Z61" s="227"/>
    </x:row>
    <x:row r="62">
      <x:c r="A62" s="227"/>
      <x:c r="B62" s="227"/>
      <x:c r="C62" s="227"/>
      <x:c r="D62" s="227"/>
      <x:c r="E62" s="227"/>
      <x:c r="F62" s="227"/>
      <x:c r="G62" s="227"/>
      <x:c r="H62" s="227"/>
      <x:c r="I62" s="227"/>
      <x:c r="J62" s="227"/>
      <x:c r="K62" s="227"/>
      <x:c r="L62" s="227"/>
      <x:c r="M62" s="227"/>
      <x:c r="N62" s="227"/>
      <x:c r="O62" s="227"/>
      <x:c r="P62" s="227"/>
      <x:c r="Q62" s="227"/>
      <x:c r="R62" s="227"/>
      <x:c r="S62" s="227"/>
      <x:c r="T62" s="227"/>
      <x:c r="U62" s="227"/>
      <x:c r="V62" s="227"/>
      <x:c r="W62" s="227"/>
      <x:c r="X62" s="227"/>
      <x:c r="Y62" s="227"/>
      <x:c r="Z62" s="227"/>
    </x:row>
    <x:row r="63">
      <x:c r="A63" s="227"/>
      <x:c r="B63" s="227"/>
      <x:c r="C63" s="227"/>
      <x:c r="D63" s="227"/>
      <x:c r="E63" s="227"/>
      <x:c r="F63" s="227"/>
      <x:c r="G63" s="227"/>
      <x:c r="H63" s="227"/>
      <x:c r="I63" s="227"/>
      <x:c r="J63" s="227"/>
      <x:c r="K63" s="227"/>
      <x:c r="L63" s="227"/>
      <x:c r="M63" s="227"/>
      <x:c r="N63" s="227"/>
      <x:c r="O63" s="227"/>
      <x:c r="P63" s="227"/>
      <x:c r="Q63" s="227"/>
      <x:c r="R63" s="227"/>
      <x:c r="S63" s="227"/>
      <x:c r="T63" s="227"/>
      <x:c r="U63" s="227"/>
      <x:c r="V63" s="227"/>
      <x:c r="W63" s="227"/>
      <x:c r="X63" s="227"/>
      <x:c r="Y63" s="227"/>
      <x:c r="Z63" s="227"/>
    </x:row>
    <x:row r="64">
      <x:c r="A64" s="227"/>
      <x:c r="B64" s="227"/>
      <x:c r="C64" s="227"/>
      <x:c r="D64" s="227"/>
      <x:c r="E64" s="227"/>
      <x:c r="F64" s="227"/>
      <x:c r="G64" s="227"/>
      <x:c r="H64" s="227"/>
      <x:c r="I64" s="227"/>
      <x:c r="J64" s="227"/>
      <x:c r="K64" s="227"/>
      <x:c r="L64" s="227"/>
      <x:c r="M64" s="227"/>
      <x:c r="N64" s="227"/>
      <x:c r="O64" s="227"/>
      <x:c r="P64" s="227"/>
      <x:c r="Q64" s="227"/>
      <x:c r="R64" s="227"/>
      <x:c r="S64" s="227"/>
      <x:c r="T64" s="227"/>
      <x:c r="U64" s="227"/>
      <x:c r="V64" s="227"/>
      <x:c r="W64" s="227"/>
      <x:c r="X64" s="227"/>
      <x:c r="Y64" s="227"/>
      <x:c r="Z64" s="227"/>
    </x:row>
    <x:row r="65">
      <x:c r="A65" s="227"/>
      <x:c r="B65" s="227"/>
      <x:c r="C65" s="227"/>
      <x:c r="D65" s="227"/>
      <x:c r="E65" s="227"/>
      <x:c r="F65" s="227"/>
      <x:c r="G65" s="227"/>
      <x:c r="H65" s="227"/>
      <x:c r="I65" s="227"/>
      <x:c r="J65" s="227"/>
      <x:c r="K65" s="227"/>
      <x:c r="L65" s="227"/>
      <x:c r="M65" s="227"/>
      <x:c r="N65" s="227"/>
      <x:c r="O65" s="227"/>
      <x:c r="P65" s="227"/>
      <x:c r="Q65" s="227"/>
      <x:c r="R65" s="227"/>
      <x:c r="S65" s="227"/>
      <x:c r="T65" s="227"/>
      <x:c r="U65" s="227"/>
      <x:c r="V65" s="227"/>
      <x:c r="W65" s="227"/>
      <x:c r="X65" s="227"/>
      <x:c r="Y65" s="227"/>
      <x:c r="Z65" s="227"/>
    </x:row>
    <x:row r="66">
      <x:c r="A66" s="227"/>
      <x:c r="B66" s="227"/>
      <x:c r="C66" s="227"/>
      <x:c r="D66" s="227"/>
      <x:c r="E66" s="227"/>
      <x:c r="F66" s="227"/>
      <x:c r="G66" s="227"/>
      <x:c r="H66" s="227"/>
      <x:c r="I66" s="227"/>
      <x:c r="J66" s="227"/>
      <x:c r="K66" s="227"/>
      <x:c r="L66" s="227"/>
      <x:c r="M66" s="227"/>
      <x:c r="N66" s="227"/>
      <x:c r="O66" s="227"/>
      <x:c r="P66" s="227"/>
      <x:c r="Q66" s="227"/>
      <x:c r="R66" s="227"/>
      <x:c r="S66" s="227"/>
      <x:c r="T66" s="227"/>
      <x:c r="U66" s="227"/>
      <x:c r="V66" s="227"/>
      <x:c r="W66" s="227"/>
      <x:c r="X66" s="227"/>
      <x:c r="Y66" s="227"/>
      <x:c r="Z66" s="227"/>
    </x:row>
    <x:row r="67">
      <x:c r="A67" s="227"/>
      <x:c r="B67" s="227"/>
      <x:c r="C67" s="227"/>
      <x:c r="D67" s="227"/>
      <x:c r="E67" s="227"/>
      <x:c r="F67" s="227"/>
      <x:c r="G67" s="227"/>
      <x:c r="H67" s="227"/>
      <x:c r="I67" s="227"/>
      <x:c r="J67" s="227"/>
      <x:c r="K67" s="227"/>
      <x:c r="L67" s="227"/>
      <x:c r="M67" s="227"/>
      <x:c r="N67" s="227"/>
      <x:c r="O67" s="227"/>
      <x:c r="P67" s="227"/>
      <x:c r="Q67" s="227"/>
      <x:c r="R67" s="227"/>
      <x:c r="S67" s="227"/>
      <x:c r="T67" s="227"/>
      <x:c r="U67" s="227"/>
      <x:c r="V67" s="227"/>
      <x:c r="W67" s="227"/>
      <x:c r="X67" s="227"/>
      <x:c r="Y67" s="227"/>
      <x:c r="Z67" s="227"/>
    </x:row>
    <x:row r="68">
      <x:c r="A68" s="227"/>
      <x:c r="B68" s="227"/>
      <x:c r="C68" s="227"/>
      <x:c r="D68" s="227"/>
      <x:c r="E68" s="227"/>
      <x:c r="F68" s="227"/>
      <x:c r="G68" s="227"/>
      <x:c r="H68" s="227"/>
      <x:c r="I68" s="227"/>
      <x:c r="J68" s="227"/>
      <x:c r="K68" s="227"/>
      <x:c r="L68" s="227"/>
      <x:c r="M68" s="227"/>
      <x:c r="N68" s="227"/>
      <x:c r="O68" s="227"/>
      <x:c r="P68" s="227"/>
      <x:c r="Q68" s="227"/>
      <x:c r="R68" s="227"/>
      <x:c r="S68" s="227"/>
      <x:c r="T68" s="227"/>
      <x:c r="U68" s="227"/>
      <x:c r="V68" s="227"/>
      <x:c r="W68" s="227"/>
      <x:c r="X68" s="227"/>
      <x:c r="Y68" s="227"/>
      <x:c r="Z68" s="227"/>
    </x:row>
    <x:row r="69">
      <x:c r="A69" s="227"/>
      <x:c r="B69" s="227"/>
      <x:c r="C69" s="227"/>
      <x:c r="D69" s="227"/>
      <x:c r="E69" s="227"/>
      <x:c r="F69" s="227"/>
      <x:c r="G69" s="227"/>
      <x:c r="H69" s="227"/>
      <x:c r="I69" s="227"/>
      <x:c r="J69" s="227"/>
      <x:c r="K69" s="227"/>
      <x:c r="L69" s="227"/>
      <x:c r="M69" s="227"/>
      <x:c r="N69" s="227"/>
      <x:c r="O69" s="227"/>
      <x:c r="P69" s="227"/>
      <x:c r="Q69" s="227"/>
      <x:c r="R69" s="227"/>
      <x:c r="S69" s="227"/>
      <x:c r="T69" s="227"/>
      <x:c r="U69" s="227"/>
      <x:c r="V69" s="227"/>
      <x:c r="W69" s="227"/>
      <x:c r="X69" s="227"/>
      <x:c r="Y69" s="227"/>
      <x:c r="Z69" s="227"/>
    </x:row>
    <x:row r="70">
      <x:c r="A70" s="227"/>
      <x:c r="B70" s="227"/>
      <x:c r="C70" s="227"/>
      <x:c r="D70" s="227"/>
      <x:c r="E70" s="227"/>
      <x:c r="F70" s="227"/>
      <x:c r="G70" s="227"/>
      <x:c r="H70" s="227"/>
      <x:c r="I70" s="227"/>
      <x:c r="J70" s="227"/>
      <x:c r="K70" s="227"/>
      <x:c r="L70" s="227"/>
      <x:c r="M70" s="227"/>
      <x:c r="N70" s="227"/>
      <x:c r="O70" s="227"/>
      <x:c r="P70" s="227"/>
      <x:c r="Q70" s="227"/>
      <x:c r="R70" s="227"/>
      <x:c r="S70" s="227"/>
      <x:c r="T70" s="227"/>
      <x:c r="U70" s="227"/>
      <x:c r="V70" s="227"/>
      <x:c r="W70" s="227"/>
      <x:c r="X70" s="227"/>
      <x:c r="Y70" s="227"/>
      <x:c r="Z70" s="227"/>
    </x:row>
    <x:row r="71">
      <x:c r="A71" s="227"/>
      <x:c r="B71" s="227"/>
      <x:c r="C71" s="227"/>
      <x:c r="D71" s="227"/>
      <x:c r="E71" s="227"/>
      <x:c r="F71" s="227"/>
      <x:c r="G71" s="227"/>
      <x:c r="H71" s="227"/>
      <x:c r="I71" s="227"/>
      <x:c r="J71" s="227"/>
      <x:c r="K71" s="227"/>
      <x:c r="L71" s="227"/>
      <x:c r="M71" s="227"/>
      <x:c r="N71" s="227"/>
      <x:c r="O71" s="227"/>
      <x:c r="P71" s="227"/>
      <x:c r="Q71" s="227"/>
      <x:c r="R71" s="227"/>
      <x:c r="S71" s="227"/>
      <x:c r="T71" s="227"/>
      <x:c r="U71" s="227"/>
      <x:c r="V71" s="227"/>
      <x:c r="W71" s="227"/>
      <x:c r="X71" s="227"/>
      <x:c r="Y71" s="227"/>
      <x:c r="Z71" s="227"/>
    </x:row>
    <x:row r="72">
      <x:c r="A72" s="227"/>
      <x:c r="B72" s="227"/>
      <x:c r="C72" s="227"/>
      <x:c r="D72" s="227"/>
      <x:c r="E72" s="227"/>
      <x:c r="F72" s="227"/>
      <x:c r="G72" s="227"/>
      <x:c r="H72" s="227"/>
      <x:c r="I72" s="227"/>
      <x:c r="J72" s="227"/>
      <x:c r="K72" s="227"/>
      <x:c r="L72" s="227"/>
      <x:c r="M72" s="227"/>
      <x:c r="N72" s="227"/>
      <x:c r="O72" s="227"/>
      <x:c r="P72" s="227"/>
      <x:c r="Q72" s="227"/>
      <x:c r="R72" s="227"/>
      <x:c r="S72" s="227"/>
      <x:c r="T72" s="227"/>
      <x:c r="U72" s="227"/>
      <x:c r="V72" s="227"/>
      <x:c r="W72" s="227"/>
      <x:c r="X72" s="227"/>
      <x:c r="Y72" s="227"/>
      <x:c r="Z72" s="227"/>
    </x:row>
    <x:row r="73">
      <x:c r="A73" s="227"/>
      <x:c r="B73" s="227"/>
      <x:c r="C73" s="227"/>
      <x:c r="D73" s="227"/>
      <x:c r="E73" s="227"/>
      <x:c r="F73" s="227"/>
      <x:c r="G73" s="227"/>
      <x:c r="H73" s="227"/>
      <x:c r="I73" s="227"/>
      <x:c r="J73" s="227"/>
      <x:c r="K73" s="227"/>
      <x:c r="L73" s="227"/>
      <x:c r="M73" s="227"/>
      <x:c r="N73" s="227"/>
      <x:c r="O73" s="227"/>
      <x:c r="P73" s="227"/>
      <x:c r="Q73" s="227"/>
      <x:c r="R73" s="227"/>
      <x:c r="S73" s="227"/>
      <x:c r="T73" s="227"/>
      <x:c r="U73" s="227"/>
      <x:c r="V73" s="227"/>
      <x:c r="W73" s="227"/>
      <x:c r="X73" s="227"/>
      <x:c r="Y73" s="227"/>
      <x:c r="Z73" s="227"/>
    </x:row>
    <x:row r="74">
      <x:c r="A74" s="227"/>
      <x:c r="B74" s="227"/>
      <x:c r="C74" s="227"/>
      <x:c r="D74" s="227"/>
      <x:c r="E74" s="227"/>
      <x:c r="F74" s="227"/>
      <x:c r="G74" s="227"/>
      <x:c r="H74" s="227"/>
      <x:c r="I74" s="227"/>
      <x:c r="J74" s="227"/>
      <x:c r="K74" s="227"/>
      <x:c r="L74" s="227"/>
      <x:c r="M74" s="227"/>
      <x:c r="N74" s="227"/>
      <x:c r="O74" s="227"/>
      <x:c r="P74" s="227"/>
      <x:c r="Q74" s="227"/>
      <x:c r="R74" s="227"/>
      <x:c r="S74" s="227"/>
      <x:c r="T74" s="227"/>
      <x:c r="U74" s="227"/>
      <x:c r="V74" s="227"/>
      <x:c r="W74" s="227"/>
      <x:c r="X74" s="227"/>
      <x:c r="Y74" s="227"/>
      <x:c r="Z74" s="227"/>
    </x:row>
    <x:row r="75">
      <x:c r="A75" s="227"/>
      <x:c r="B75" s="227"/>
      <x:c r="C75" s="227"/>
      <x:c r="D75" s="227"/>
      <x:c r="E75" s="227"/>
      <x:c r="F75" s="227"/>
      <x:c r="G75" s="227"/>
      <x:c r="H75" s="227"/>
      <x:c r="I75" s="227"/>
      <x:c r="J75" s="227"/>
      <x:c r="K75" s="227"/>
      <x:c r="L75" s="227"/>
      <x:c r="M75" s="227"/>
      <x:c r="N75" s="227"/>
      <x:c r="O75" s="227"/>
      <x:c r="P75" s="227"/>
      <x:c r="Q75" s="227"/>
      <x:c r="R75" s="227"/>
      <x:c r="S75" s="227"/>
      <x:c r="T75" s="227"/>
      <x:c r="U75" s="227"/>
      <x:c r="V75" s="227"/>
      <x:c r="W75" s="227"/>
      <x:c r="X75" s="227"/>
      <x:c r="Y75" s="227"/>
      <x:c r="Z75" s="227"/>
    </x:row>
    <x:row r="76">
      <x:c r="A76" s="227"/>
      <x:c r="B76" s="227"/>
      <x:c r="C76" s="227"/>
      <x:c r="D76" s="227"/>
      <x:c r="E76" s="227"/>
      <x:c r="F76" s="227"/>
      <x:c r="G76" s="227"/>
      <x:c r="H76" s="227"/>
      <x:c r="I76" s="227"/>
      <x:c r="J76" s="227"/>
      <x:c r="K76" s="227"/>
      <x:c r="L76" s="227"/>
      <x:c r="M76" s="227"/>
      <x:c r="N76" s="227"/>
      <x:c r="O76" s="227"/>
      <x:c r="P76" s="227"/>
      <x:c r="Q76" s="227"/>
      <x:c r="R76" s="227"/>
      <x:c r="S76" s="227"/>
      <x:c r="T76" s="227"/>
      <x:c r="U76" s="227"/>
      <x:c r="V76" s="227"/>
      <x:c r="W76" s="227"/>
      <x:c r="X76" s="227"/>
      <x:c r="Y76" s="227"/>
      <x:c r="Z76" s="227"/>
    </x:row>
    <x:row r="77">
      <x:c r="A77" s="227"/>
      <x:c r="B77" s="227"/>
      <x:c r="C77" s="227"/>
      <x:c r="D77" s="227"/>
      <x:c r="E77" s="227"/>
      <x:c r="F77" s="227"/>
      <x:c r="G77" s="227"/>
      <x:c r="H77" s="227"/>
      <x:c r="I77" s="227"/>
      <x:c r="J77" s="227"/>
      <x:c r="K77" s="227"/>
      <x:c r="L77" s="227"/>
      <x:c r="M77" s="227"/>
      <x:c r="N77" s="227"/>
      <x:c r="O77" s="227"/>
      <x:c r="P77" s="227"/>
      <x:c r="Q77" s="227"/>
      <x:c r="R77" s="227"/>
      <x:c r="S77" s="227"/>
      <x:c r="T77" s="227"/>
      <x:c r="U77" s="227"/>
      <x:c r="V77" s="227"/>
      <x:c r="W77" s="227"/>
      <x:c r="X77" s="227"/>
      <x:c r="Y77" s="227"/>
      <x:c r="Z77" s="227"/>
    </x:row>
    <x:row r="78">
      <x:c r="A78" s="227"/>
      <x:c r="B78" s="227"/>
      <x:c r="C78" s="227"/>
      <x:c r="D78" s="227"/>
      <x:c r="E78" s="227"/>
      <x:c r="F78" s="227"/>
      <x:c r="G78" s="227"/>
      <x:c r="H78" s="227"/>
      <x:c r="I78" s="227"/>
      <x:c r="J78" s="227"/>
      <x:c r="K78" s="227"/>
      <x:c r="L78" s="227"/>
      <x:c r="M78" s="227"/>
      <x:c r="N78" s="227"/>
      <x:c r="O78" s="227"/>
      <x:c r="P78" s="227"/>
      <x:c r="Q78" s="227"/>
      <x:c r="R78" s="227"/>
      <x:c r="S78" s="227"/>
      <x:c r="T78" s="227"/>
      <x:c r="U78" s="227"/>
      <x:c r="V78" s="227"/>
      <x:c r="W78" s="227"/>
      <x:c r="X78" s="227"/>
      <x:c r="Y78" s="227"/>
      <x:c r="Z78" s="227"/>
    </x:row>
    <x:row r="79">
      <x:c r="A79" s="227"/>
      <x:c r="B79" s="227"/>
      <x:c r="C79" s="227"/>
      <x:c r="D79" s="227"/>
      <x:c r="E79" s="227"/>
      <x:c r="F79" s="227"/>
      <x:c r="G79" s="227"/>
      <x:c r="H79" s="227"/>
      <x:c r="I79" s="227"/>
      <x:c r="J79" s="227"/>
      <x:c r="K79" s="227"/>
      <x:c r="L79" s="227"/>
      <x:c r="M79" s="227"/>
      <x:c r="N79" s="227"/>
      <x:c r="O79" s="227"/>
      <x:c r="P79" s="227"/>
      <x:c r="Q79" s="227"/>
      <x:c r="R79" s="227"/>
      <x:c r="S79" s="227"/>
      <x:c r="T79" s="227"/>
      <x:c r="U79" s="227"/>
      <x:c r="V79" s="227"/>
      <x:c r="W79" s="227"/>
      <x:c r="X79" s="227"/>
      <x:c r="Y79" s="227"/>
      <x:c r="Z79" s="227"/>
    </x:row>
    <x:row r="80">
      <x:c r="A80" s="227"/>
      <x:c r="B80" s="227"/>
      <x:c r="C80" s="227"/>
      <x:c r="D80" s="227"/>
      <x:c r="E80" s="227"/>
      <x:c r="F80" s="227"/>
      <x:c r="G80" s="227"/>
      <x:c r="H80" s="227"/>
      <x:c r="I80" s="227"/>
      <x:c r="J80" s="227"/>
      <x:c r="K80" s="227"/>
      <x:c r="L80" s="227"/>
      <x:c r="M80" s="227"/>
      <x:c r="N80" s="227"/>
      <x:c r="O80" s="227"/>
      <x:c r="P80" s="227"/>
      <x:c r="Q80" s="227"/>
      <x:c r="R80" s="227"/>
      <x:c r="S80" s="227"/>
      <x:c r="T80" s="227"/>
      <x:c r="U80" s="227"/>
      <x:c r="V80" s="227"/>
      <x:c r="W80" s="227"/>
      <x:c r="X80" s="227"/>
      <x:c r="Y80" s="227"/>
      <x:c r="Z80" s="227"/>
    </x:row>
    <x:row r="81">
      <x:c r="A81" s="227"/>
      <x:c r="B81" s="227"/>
      <x:c r="C81" s="227"/>
      <x:c r="D81" s="227"/>
      <x:c r="E81" s="227"/>
      <x:c r="F81" s="227"/>
      <x:c r="G81" s="227"/>
      <x:c r="H81" s="227"/>
      <x:c r="I81" s="227"/>
      <x:c r="J81" s="227"/>
      <x:c r="K81" s="227"/>
      <x:c r="L81" s="227"/>
      <x:c r="M81" s="227"/>
      <x:c r="N81" s="227"/>
      <x:c r="O81" s="227"/>
      <x:c r="P81" s="227"/>
      <x:c r="Q81" s="227"/>
      <x:c r="R81" s="227"/>
      <x:c r="S81" s="227"/>
      <x:c r="T81" s="227"/>
      <x:c r="U81" s="227"/>
      <x:c r="V81" s="227"/>
      <x:c r="W81" s="227"/>
      <x:c r="X81" s="227"/>
      <x:c r="Y81" s="227"/>
      <x:c r="Z81" s="227"/>
    </x:row>
    <x:row r="82">
      <x:c r="A82" s="227"/>
      <x:c r="B82" s="227"/>
      <x:c r="C82" s="227"/>
      <x:c r="D82" s="227"/>
      <x:c r="E82" s="227"/>
      <x:c r="F82" s="227"/>
      <x:c r="G82" s="227"/>
      <x:c r="H82" s="227"/>
      <x:c r="I82" s="227"/>
      <x:c r="J82" s="227"/>
      <x:c r="K82" s="227"/>
      <x:c r="L82" s="227"/>
      <x:c r="M82" s="227"/>
      <x:c r="N82" s="227"/>
      <x:c r="O82" s="227"/>
      <x:c r="P82" s="227"/>
      <x:c r="Q82" s="227"/>
      <x:c r="R82" s="227"/>
      <x:c r="S82" s="227"/>
      <x:c r="T82" s="227"/>
      <x:c r="U82" s="227"/>
      <x:c r="V82" s="227"/>
      <x:c r="W82" s="227"/>
      <x:c r="X82" s="227"/>
      <x:c r="Y82" s="227"/>
      <x:c r="Z82" s="227"/>
    </x:row>
    <x:row r="83">
      <x:c r="A83" s="227"/>
      <x:c r="B83" s="227"/>
      <x:c r="C83" s="227"/>
      <x:c r="D83" s="227"/>
      <x:c r="E83" s="227"/>
      <x:c r="F83" s="227"/>
      <x:c r="G83" s="227"/>
      <x:c r="H83" s="227"/>
      <x:c r="I83" s="227"/>
      <x:c r="J83" s="227"/>
      <x:c r="K83" s="227"/>
      <x:c r="L83" s="227"/>
      <x:c r="M83" s="227"/>
      <x:c r="N83" s="227"/>
      <x:c r="O83" s="227"/>
      <x:c r="P83" s="227"/>
      <x:c r="Q83" s="227"/>
      <x:c r="R83" s="227"/>
      <x:c r="S83" s="227"/>
      <x:c r="T83" s="227"/>
      <x:c r="U83" s="227"/>
      <x:c r="V83" s="227"/>
      <x:c r="W83" s="227"/>
      <x:c r="X83" s="227"/>
      <x:c r="Y83" s="227"/>
      <x:c r="Z83" s="227"/>
    </x:row>
    <x:row r="84">
      <x:c r="A84" s="227"/>
      <x:c r="B84" s="227"/>
      <x:c r="C84" s="227"/>
      <x:c r="D84" s="227"/>
      <x:c r="E84" s="227"/>
      <x:c r="F84" s="227"/>
      <x:c r="G84" s="227"/>
      <x:c r="H84" s="227"/>
      <x:c r="I84" s="227"/>
      <x:c r="J84" s="227"/>
      <x:c r="K84" s="227"/>
      <x:c r="L84" s="227"/>
      <x:c r="M84" s="227"/>
      <x:c r="N84" s="227"/>
      <x:c r="O84" s="227"/>
      <x:c r="P84" s="227"/>
      <x:c r="Q84" s="227"/>
      <x:c r="R84" s="227"/>
      <x:c r="S84" s="227"/>
      <x:c r="T84" s="227"/>
      <x:c r="U84" s="227"/>
      <x:c r="V84" s="227"/>
      <x:c r="W84" s="227"/>
      <x:c r="X84" s="227"/>
      <x:c r="Y84" s="227"/>
      <x:c r="Z84" s="227"/>
    </x:row>
    <x:row r="85">
      <x:c r="A85" s="227"/>
      <x:c r="B85" s="227"/>
      <x:c r="C85" s="227"/>
      <x:c r="D85" s="227"/>
      <x:c r="E85" s="227"/>
      <x:c r="F85" s="227"/>
      <x:c r="G85" s="227"/>
      <x:c r="H85" s="227"/>
      <x:c r="I85" s="227"/>
      <x:c r="J85" s="227"/>
      <x:c r="K85" s="227"/>
      <x:c r="L85" s="227"/>
      <x:c r="M85" s="227"/>
      <x:c r="N85" s="227"/>
      <x:c r="O85" s="227"/>
      <x:c r="P85" s="227"/>
      <x:c r="Q85" s="227"/>
      <x:c r="R85" s="227"/>
      <x:c r="S85" s="227"/>
      <x:c r="T85" s="227"/>
      <x:c r="U85" s="227"/>
      <x:c r="V85" s="227"/>
      <x:c r="W85" s="227"/>
      <x:c r="X85" s="227"/>
      <x:c r="Y85" s="227"/>
      <x:c r="Z85" s="227"/>
    </x:row>
    <x:row r="86">
      <x:c r="A86" s="227"/>
      <x:c r="B86" s="227"/>
      <x:c r="C86" s="227"/>
      <x:c r="D86" s="227"/>
      <x:c r="E86" s="227"/>
      <x:c r="F86" s="227"/>
      <x:c r="G86" s="227"/>
      <x:c r="H86" s="227"/>
      <x:c r="I86" s="227"/>
      <x:c r="J86" s="227"/>
      <x:c r="K86" s="227"/>
      <x:c r="L86" s="227"/>
      <x:c r="M86" s="227"/>
      <x:c r="N86" s="227"/>
      <x:c r="O86" s="227"/>
      <x:c r="P86" s="227"/>
      <x:c r="Q86" s="227"/>
      <x:c r="R86" s="227"/>
      <x:c r="S86" s="227"/>
      <x:c r="T86" s="227"/>
      <x:c r="U86" s="227"/>
      <x:c r="V86" s="227"/>
      <x:c r="W86" s="227"/>
      <x:c r="X86" s="227"/>
      <x:c r="Y86" s="227"/>
      <x:c r="Z86" s="227"/>
    </x:row>
    <x:row r="87">
      <x:c r="A87" s="227"/>
      <x:c r="B87" s="227"/>
      <x:c r="C87" s="227"/>
      <x:c r="D87" s="227"/>
      <x:c r="E87" s="227"/>
      <x:c r="F87" s="227"/>
      <x:c r="G87" s="227"/>
      <x:c r="H87" s="227"/>
      <x:c r="I87" s="227"/>
      <x:c r="J87" s="227"/>
      <x:c r="K87" s="227"/>
      <x:c r="L87" s="227"/>
      <x:c r="M87" s="227"/>
      <x:c r="N87" s="227"/>
      <x:c r="O87" s="227"/>
      <x:c r="P87" s="227"/>
      <x:c r="Q87" s="227"/>
      <x:c r="R87" s="227"/>
      <x:c r="S87" s="227"/>
      <x:c r="T87" s="227"/>
      <x:c r="U87" s="227"/>
      <x:c r="V87" s="227"/>
      <x:c r="W87" s="227"/>
      <x:c r="X87" s="227"/>
      <x:c r="Y87" s="227"/>
      <x:c r="Z87" s="227"/>
    </x:row>
    <x:row r="88">
      <x:c r="A88" s="227"/>
      <x:c r="B88" s="227"/>
      <x:c r="C88" s="227"/>
      <x:c r="D88" s="227"/>
      <x:c r="E88" s="227"/>
      <x:c r="F88" s="227"/>
      <x:c r="G88" s="227"/>
      <x:c r="H88" s="227"/>
      <x:c r="I88" s="227"/>
      <x:c r="J88" s="227"/>
      <x:c r="K88" s="227"/>
      <x:c r="L88" s="227"/>
      <x:c r="M88" s="227"/>
      <x:c r="N88" s="227"/>
      <x:c r="O88" s="227"/>
      <x:c r="P88" s="227"/>
      <x:c r="Q88" s="227"/>
      <x:c r="R88" s="227"/>
      <x:c r="S88" s="227"/>
      <x:c r="T88" s="227"/>
      <x:c r="U88" s="227"/>
      <x:c r="V88" s="227"/>
      <x:c r="W88" s="227"/>
      <x:c r="X88" s="227"/>
      <x:c r="Y88" s="227"/>
      <x:c r="Z88" s="227"/>
    </x:row>
    <x:row r="89">
      <x:c r="A89" s="227"/>
      <x:c r="B89" s="227"/>
      <x:c r="C89" s="227"/>
      <x:c r="D89" s="227"/>
      <x:c r="E89" s="227"/>
      <x:c r="F89" s="227"/>
      <x:c r="G89" s="227"/>
      <x:c r="H89" s="227"/>
      <x:c r="I89" s="227"/>
      <x:c r="J89" s="227"/>
      <x:c r="K89" s="227"/>
      <x:c r="L89" s="227"/>
      <x:c r="M89" s="227"/>
      <x:c r="N89" s="227"/>
      <x:c r="O89" s="227"/>
      <x:c r="P89" s="227"/>
      <x:c r="Q89" s="227"/>
      <x:c r="R89" s="227"/>
      <x:c r="S89" s="227"/>
      <x:c r="T89" s="227"/>
      <x:c r="U89" s="227"/>
      <x:c r="V89" s="227"/>
      <x:c r="W89" s="227"/>
      <x:c r="X89" s="227"/>
      <x:c r="Y89" s="227"/>
      <x:c r="Z89" s="227"/>
    </x:row>
    <x:row r="90">
      <x:c r="A90" s="227"/>
      <x:c r="B90" s="227"/>
      <x:c r="C90" s="227"/>
      <x:c r="D90" s="227"/>
      <x:c r="E90" s="227"/>
      <x:c r="F90" s="227"/>
      <x:c r="G90" s="227"/>
      <x:c r="H90" s="227"/>
      <x:c r="I90" s="227"/>
      <x:c r="J90" s="227"/>
      <x:c r="K90" s="227"/>
      <x:c r="L90" s="227"/>
      <x:c r="M90" s="227"/>
      <x:c r="N90" s="227"/>
      <x:c r="O90" s="227"/>
      <x:c r="P90" s="227"/>
      <x:c r="Q90" s="227"/>
      <x:c r="R90" s="227"/>
      <x:c r="S90" s="227"/>
      <x:c r="T90" s="227"/>
      <x:c r="U90" s="227"/>
      <x:c r="V90" s="227"/>
      <x:c r="W90" s="227"/>
      <x:c r="X90" s="227"/>
      <x:c r="Y90" s="227"/>
      <x:c r="Z90" s="227"/>
    </x:row>
    <x:row r="91">
      <x:c r="A91" s="227"/>
      <x:c r="B91" s="227"/>
      <x:c r="C91" s="227"/>
      <x:c r="D91" s="227"/>
      <x:c r="E91" s="227"/>
      <x:c r="F91" s="227"/>
      <x:c r="G91" s="227"/>
      <x:c r="H91" s="227"/>
      <x:c r="I91" s="227"/>
      <x:c r="J91" s="227"/>
      <x:c r="K91" s="227"/>
      <x:c r="L91" s="227"/>
      <x:c r="M91" s="227"/>
      <x:c r="N91" s="227"/>
      <x:c r="O91" s="227"/>
      <x:c r="P91" s="227"/>
      <x:c r="Q91" s="227"/>
      <x:c r="R91" s="227"/>
      <x:c r="S91" s="227"/>
      <x:c r="T91" s="227"/>
      <x:c r="U91" s="227"/>
      <x:c r="V91" s="227"/>
      <x:c r="W91" s="227"/>
      <x:c r="X91" s="227"/>
      <x:c r="Y91" s="227"/>
      <x:c r="Z91" s="227"/>
    </x:row>
    <x:row r="92">
      <x:c r="A92" s="227"/>
      <x:c r="B92" s="227"/>
      <x:c r="C92" s="227"/>
      <x:c r="D92" s="227"/>
      <x:c r="E92" s="227"/>
      <x:c r="F92" s="227"/>
      <x:c r="G92" s="227"/>
      <x:c r="H92" s="227"/>
      <x:c r="I92" s="227"/>
      <x:c r="J92" s="227"/>
      <x:c r="K92" s="227"/>
      <x:c r="L92" s="227"/>
      <x:c r="M92" s="227"/>
      <x:c r="N92" s="227"/>
      <x:c r="O92" s="227"/>
      <x:c r="P92" s="227"/>
      <x:c r="Q92" s="227"/>
      <x:c r="R92" s="227"/>
      <x:c r="S92" s="227"/>
      <x:c r="T92" s="227"/>
      <x:c r="U92" s="227"/>
      <x:c r="V92" s="227"/>
      <x:c r="W92" s="227"/>
      <x:c r="X92" s="227"/>
      <x:c r="Y92" s="227"/>
      <x:c r="Z92" s="227"/>
    </x:row>
    <x:row r="93">
      <x:c r="A93" s="227"/>
      <x:c r="B93" s="227"/>
      <x:c r="C93" s="227"/>
      <x:c r="D93" s="227"/>
      <x:c r="E93" s="227"/>
      <x:c r="F93" s="227"/>
      <x:c r="G93" s="227"/>
      <x:c r="H93" s="227"/>
      <x:c r="I93" s="227"/>
      <x:c r="J93" s="227"/>
      <x:c r="K93" s="227"/>
      <x:c r="L93" s="227"/>
      <x:c r="M93" s="227"/>
      <x:c r="N93" s="227"/>
      <x:c r="O93" s="227"/>
      <x:c r="P93" s="227"/>
      <x:c r="Q93" s="227"/>
      <x:c r="R93" s="227"/>
      <x:c r="S93" s="227"/>
      <x:c r="T93" s="227"/>
      <x:c r="U93" s="227"/>
      <x:c r="V93" s="227"/>
      <x:c r="W93" s="227"/>
      <x:c r="X93" s="227"/>
      <x:c r="Y93" s="227"/>
      <x:c r="Z93" s="227"/>
    </x:row>
    <x:row r="94">
      <x:c r="A94" s="227"/>
      <x:c r="B94" s="227"/>
      <x:c r="C94" s="227"/>
      <x:c r="D94" s="227"/>
      <x:c r="E94" s="227"/>
      <x:c r="F94" s="227"/>
      <x:c r="G94" s="227"/>
      <x:c r="H94" s="227"/>
      <x:c r="I94" s="227"/>
      <x:c r="J94" s="227"/>
      <x:c r="K94" s="227"/>
      <x:c r="L94" s="227"/>
      <x:c r="M94" s="227"/>
      <x:c r="N94" s="227"/>
      <x:c r="O94" s="227"/>
      <x:c r="P94" s="227"/>
      <x:c r="Q94" s="227"/>
      <x:c r="R94" s="227"/>
      <x:c r="S94" s="227"/>
      <x:c r="T94" s="227"/>
      <x:c r="U94" s="227"/>
      <x:c r="V94" s="227"/>
      <x:c r="W94" s="227"/>
      <x:c r="X94" s="227"/>
      <x:c r="Y94" s="227"/>
      <x:c r="Z94" s="227"/>
    </x:row>
    <x:row r="95">
      <x:c r="A95" s="227"/>
      <x:c r="B95" s="227"/>
      <x:c r="C95" s="227"/>
      <x:c r="D95" s="227"/>
      <x:c r="E95" s="227"/>
      <x:c r="F95" s="227"/>
      <x:c r="G95" s="227"/>
      <x:c r="H95" s="227"/>
      <x:c r="I95" s="227"/>
      <x:c r="J95" s="227"/>
      <x:c r="K95" s="227"/>
      <x:c r="L95" s="227"/>
      <x:c r="M95" s="227"/>
      <x:c r="N95" s="227"/>
      <x:c r="O95" s="227"/>
      <x:c r="P95" s="227"/>
      <x:c r="Q95" s="227"/>
      <x:c r="R95" s="227"/>
      <x:c r="S95" s="227"/>
      <x:c r="T95" s="227"/>
      <x:c r="U95" s="227"/>
      <x:c r="V95" s="227"/>
      <x:c r="W95" s="227"/>
      <x:c r="X95" s="227"/>
      <x:c r="Y95" s="227"/>
      <x:c r="Z95" s="227"/>
    </x:row>
    <x:row r="96">
      <x:c r="A96" s="227"/>
      <x:c r="B96" s="227"/>
      <x:c r="C96" s="227"/>
      <x:c r="D96" s="227"/>
      <x:c r="E96" s="227"/>
      <x:c r="F96" s="227"/>
      <x:c r="G96" s="227"/>
      <x:c r="H96" s="227"/>
      <x:c r="I96" s="227"/>
      <x:c r="J96" s="227"/>
      <x:c r="K96" s="227"/>
      <x:c r="L96" s="227"/>
      <x:c r="M96" s="227"/>
      <x:c r="N96" s="227"/>
      <x:c r="O96" s="227"/>
      <x:c r="P96" s="227"/>
      <x:c r="Q96" s="227"/>
      <x:c r="R96" s="227"/>
      <x:c r="S96" s="227"/>
      <x:c r="T96" s="227"/>
      <x:c r="U96" s="227"/>
      <x:c r="V96" s="227"/>
      <x:c r="W96" s="227"/>
      <x:c r="X96" s="227"/>
      <x:c r="Y96" s="227"/>
      <x:c r="Z96" s="227"/>
    </x:row>
    <x:row r="97">
      <x:c r="A97" s="227"/>
      <x:c r="B97" s="227"/>
      <x:c r="C97" s="227"/>
      <x:c r="D97" s="227"/>
      <x:c r="E97" s="227"/>
      <x:c r="F97" s="227"/>
      <x:c r="G97" s="227"/>
      <x:c r="H97" s="227"/>
      <x:c r="I97" s="227"/>
      <x:c r="J97" s="227"/>
      <x:c r="K97" s="227"/>
      <x:c r="L97" s="227"/>
      <x:c r="M97" s="227"/>
      <x:c r="N97" s="227"/>
      <x:c r="O97" s="227"/>
      <x:c r="P97" s="227"/>
      <x:c r="Q97" s="227"/>
      <x:c r="R97" s="227"/>
      <x:c r="S97" s="227"/>
      <x:c r="T97" s="227"/>
      <x:c r="U97" s="227"/>
      <x:c r="V97" s="227"/>
      <x:c r="W97" s="227"/>
      <x:c r="X97" s="227"/>
      <x:c r="Y97" s="227"/>
      <x:c r="Z97" s="227"/>
    </x:row>
    <x:row r="98">
      <x:c r="A98" s="227"/>
      <x:c r="B98" s="227"/>
      <x:c r="C98" s="227"/>
      <x:c r="D98" s="227"/>
      <x:c r="E98" s="227"/>
      <x:c r="F98" s="227"/>
      <x:c r="G98" s="227"/>
      <x:c r="H98" s="227"/>
      <x:c r="I98" s="227"/>
      <x:c r="J98" s="227"/>
      <x:c r="K98" s="227"/>
      <x:c r="L98" s="227"/>
      <x:c r="M98" s="227"/>
      <x:c r="N98" s="227"/>
      <x:c r="O98" s="227"/>
      <x:c r="P98" s="227"/>
      <x:c r="Q98" s="227"/>
      <x:c r="R98" s="227"/>
      <x:c r="S98" s="227"/>
      <x:c r="T98" s="227"/>
      <x:c r="U98" s="227"/>
      <x:c r="V98" s="227"/>
      <x:c r="W98" s="227"/>
      <x:c r="X98" s="227"/>
      <x:c r="Y98" s="227"/>
      <x:c r="Z98" s="227"/>
    </x:row>
    <x:row r="99">
      <x:c r="A99" s="227"/>
      <x:c r="B99" s="227"/>
      <x:c r="C99" s="227"/>
      <x:c r="D99" s="227"/>
      <x:c r="E99" s="227"/>
      <x:c r="F99" s="227"/>
      <x:c r="G99" s="227"/>
      <x:c r="H99" s="227"/>
      <x:c r="I99" s="227"/>
      <x:c r="J99" s="227"/>
      <x:c r="K99" s="227"/>
      <x:c r="L99" s="227"/>
      <x:c r="M99" s="227"/>
      <x:c r="N99" s="227"/>
      <x:c r="O99" s="227"/>
      <x:c r="P99" s="227"/>
      <x:c r="Q99" s="227"/>
      <x:c r="R99" s="227"/>
      <x:c r="S99" s="227"/>
      <x:c r="T99" s="227"/>
      <x:c r="U99" s="227"/>
      <x:c r="V99" s="227"/>
      <x:c r="W99" s="227"/>
      <x:c r="X99" s="227"/>
      <x:c r="Y99" s="227"/>
      <x:c r="Z99" s="227"/>
    </x:row>
    <x:row r="100">
      <x:c r="A100" s="227"/>
      <x:c r="B100" s="227"/>
      <x:c r="C100" s="227"/>
      <x:c r="D100" s="227"/>
      <x:c r="E100" s="227"/>
      <x:c r="F100" s="227"/>
      <x:c r="G100" s="227"/>
      <x:c r="H100" s="227"/>
      <x:c r="I100" s="227"/>
      <x:c r="J100" s="227"/>
      <x:c r="K100" s="227"/>
      <x:c r="L100" s="227"/>
      <x:c r="M100" s="227"/>
      <x:c r="N100" s="227"/>
      <x:c r="O100" s="227"/>
      <x:c r="P100" s="227"/>
      <x:c r="Q100" s="227"/>
      <x:c r="R100" s="227"/>
      <x:c r="S100" s="227"/>
      <x:c r="T100" s="227"/>
      <x:c r="U100" s="227"/>
      <x:c r="V100" s="227"/>
      <x:c r="W100" s="227"/>
      <x:c r="X100" s="227"/>
      <x:c r="Y100" s="227"/>
      <x:c r="Z100" s="227"/>
    </x:row>
  </x:sheetData>
  <x:mergeCells>
    <x:mergeCell ref="A1:H5"/>
    <x:mergeCell ref="A6:H7"/>
    <x:mergeCell ref="A9:H12"/>
    <x:mergeCell ref="A20:H23"/>
    <x:mergeCell ref="A25:H25"/>
  </x:mergeCells>
  <x:pageMargins left="0.7" right="0.7" top="0.75" bottom="0.75" header="0.3" footer="0.3"/>
</x:worksheet>
</file>

<file path=xl/worksheets/sheet2.xml><?xml version="1.0" encoding="utf-8"?>
<x:worksheet xmlns:x="http://schemas.openxmlformats.org/spreadsheetml/2006/main">
  <x:sheetFormatPr defaultRowHeight="15"/>
  <x:cols>
    <x:col min="1" max="1" width="34" hidden="0" customWidth="1"/>
    <x:col min="2" max="2" width="17" hidden="0" customWidth="1"/>
    <x:col min="3" max="3" width="20" hidden="0" customWidth="1"/>
    <x:col min="4" max="4" width="18" hidden="0" customWidth="1"/>
    <x:col min="5" max="5" width="22" hidden="0" customWidth="1"/>
    <x:col min="6" max="6" width="48" hidden="0" customWidth="1"/>
  </x:cols>
  <x:sheetData>
    <x:row r="1" ht="32" customHeight="1">
      <x:c r="A1" s="284" t="str">
        <x:v>ASSUMPTIONS</x:v>
      </x:c>
      <x:c r="B1" s="284" t="str">
        <x:v>ASSUMPTIONS</x:v>
      </x:c>
      <x:c r="C1" s="284" t="str">
        <x:v>ASSUMPTIONS</x:v>
      </x:c>
      <x:c r="D1" s="284" t="str">
        <x:v>ASSUMPTIONS</x:v>
      </x:c>
      <x:c r="E1" s="284" t="str">
        <x:v>ASSUMPTIONS</x:v>
      </x:c>
      <x:c r="F1" s="284" t="str">
        <x:v>ASSUMPTIONS</x:v>
      </x:c>
      <x:c r="G1" s="227"/>
      <x:c r="H1" s="227"/>
      <x:c r="I1" s="227"/>
      <x:c r="J1" s="227"/>
      <x:c r="K1" s="227"/>
      <x:c r="L1" s="227"/>
      <x:c r="M1" s="227"/>
      <x:c r="N1" s="227"/>
      <x:c r="O1" s="227"/>
      <x:c r="P1" s="227"/>
      <x:c r="Q1" s="227"/>
      <x:c r="R1" s="227"/>
      <x:c r="S1" s="227"/>
      <x:c r="T1" s="227"/>
      <x:c r="U1" s="227"/>
      <x:c r="V1" s="227"/>
      <x:c r="W1" s="227"/>
      <x:c r="X1" s="227"/>
      <x:c r="Y1" s="227"/>
      <x:c r="Z1" s="227"/>
    </x:row>
    <x:row r="2" ht="24" customHeight="1">
      <x:c r="A2" s="285" t="str">
        <x:v>Blue font = editable management input · Yellow fill = confirmation / diligence item · Professional version includes explicit OPEX decomposition, post-500 scaling, D&amp;A, tax reserve and working-capital commitments.</x:v>
      </x:c>
      <x:c r="B2" s="285" t="str">
        <x:v>Blue font = editable management input · Yellow fill = item requiring confirmation</x:v>
      </x:c>
      <x:c r="C2" s="285" t="str">
        <x:v>Blue font = editable management input · Yellow fill = item requiring confirmation</x:v>
      </x:c>
      <x:c r="D2" s="285" t="str">
        <x:v>Blue font = editable management input · Yellow fill = item requiring confirmation</x:v>
      </x:c>
      <x:c r="E2" s="285" t="str">
        <x:v>Blue font = editable management input · Yellow fill = item requiring confirmation</x:v>
      </x:c>
      <x:c r="F2" s="285" t="str">
        <x:v>Blue font = editable management input · Yellow fill = item requiring confirmation</x:v>
      </x:c>
      <x:c r="G2" s="227"/>
      <x:c r="H2" s="227"/>
      <x:c r="I2" s="227"/>
      <x:c r="J2" s="227"/>
      <x:c r="K2" s="227"/>
      <x:c r="L2" s="227"/>
      <x:c r="M2" s="227"/>
      <x:c r="N2" s="227"/>
      <x:c r="O2" s="227"/>
      <x:c r="P2" s="227"/>
      <x:c r="Q2" s="227"/>
      <x:c r="R2" s="227"/>
      <x:c r="S2" s="227"/>
      <x:c r="T2" s="227"/>
      <x:c r="U2" s="227"/>
      <x:c r="V2" s="227"/>
      <x:c r="W2" s="227"/>
      <x:c r="X2" s="227"/>
      <x:c r="Y2" s="227"/>
      <x:c r="Z2" s="227"/>
    </x:row>
    <x:row r="3" ht="24" customHeight="1">
      <x:c r="A3" s="286" t="str">
        <x:v>Input</x:v>
      </x:c>
      <x:c r="B3" s="286" t="str">
        <x:v>Value</x:v>
      </x:c>
      <x:c r="C3" s="286" t="str">
        <x:v>Unit</x:v>
      </x:c>
      <x:c r="D3" s="286" t="str">
        <x:v>Scenario / Use</x:v>
      </x:c>
      <x:c r="E3" s="286" t="str">
        <x:v>Status</x:v>
      </x:c>
      <x:c r="F3" s="286" t="str">
        <x:v>Source / Note</x:v>
      </x:c>
      <x:c r="G3" s="227"/>
      <x:c r="H3" s="227"/>
      <x:c r="I3" s="227"/>
      <x:c r="J3" s="227"/>
      <x:c r="K3" s="227"/>
      <x:c r="L3" s="227"/>
      <x:c r="M3" s="227"/>
      <x:c r="N3" s="227"/>
      <x:c r="O3" s="227"/>
      <x:c r="P3" s="227"/>
      <x:c r="Q3" s="227"/>
      <x:c r="R3" s="227"/>
      <x:c r="S3" s="227"/>
      <x:c r="T3" s="227"/>
      <x:c r="U3" s="227"/>
      <x:c r="V3" s="227"/>
      <x:c r="W3" s="227"/>
      <x:c r="X3" s="227"/>
      <x:c r="Y3" s="227"/>
      <x:c r="Z3" s="227"/>
    </x:row>
    <x:row r="4">
      <x:c r="A4" s="239" t="str">
        <x:v>MODEL &amp; TIMING</x:v>
      </x:c>
      <x:c r="B4" s="240"/>
      <x:c r="C4" s="241"/>
      <x:c r="D4" s="241"/>
      <x:c r="E4" s="242"/>
      <x:c r="F4" s="241"/>
      <x:c r="G4" s="227"/>
      <x:c r="H4" s="227"/>
      <x:c r="I4" s="227"/>
      <x:c r="J4" s="227"/>
      <x:c r="K4" s="227"/>
      <x:c r="L4" s="227"/>
      <x:c r="M4" s="227"/>
      <x:c r="N4" s="227"/>
      <x:c r="O4" s="227"/>
      <x:c r="P4" s="227"/>
      <x:c r="Q4" s="227"/>
      <x:c r="R4" s="227"/>
      <x:c r="S4" s="227"/>
      <x:c r="T4" s="227"/>
      <x:c r="U4" s="227"/>
      <x:c r="V4" s="227"/>
      <x:c r="W4" s="227"/>
      <x:c r="X4" s="227"/>
      <x:c r="Y4" s="227"/>
      <x:c r="Z4" s="227"/>
    </x:row>
    <x:row r="5">
      <x:c r="A5" s="243" t="str">
        <x:v>Model start date</x:v>
      </x:c>
      <x:c r="B5" s="244" t="n">
        <x:v>46235</x:v>
      </x:c>
      <x:c r="C5" s="245" t="str">
        <x:v>date</x:v>
      </x:c>
      <x:c r="D5" s="245" t="str">
        <x:v>Both</x:v>
      </x:c>
      <x:c r="E5" s="246" t="str">
        <x:v>Confirmed</x:v>
      </x:c>
      <x:c r="F5" s="245" t="str">
        <x:v>Management instruction</x:v>
      </x:c>
      <x:c r="G5" s="227"/>
      <x:c r="H5" s="227"/>
      <x:c r="I5" s="227"/>
      <x:c r="J5" s="227"/>
      <x:c r="K5" s="227"/>
      <x:c r="L5" s="227"/>
      <x:c r="M5" s="227"/>
      <x:c r="N5" s="227"/>
      <x:c r="O5" s="227"/>
      <x:c r="P5" s="227"/>
      <x:c r="Q5" s="227"/>
      <x:c r="R5" s="227"/>
      <x:c r="S5" s="227"/>
      <x:c r="T5" s="227"/>
      <x:c r="U5" s="227"/>
      <x:c r="V5" s="227"/>
      <x:c r="W5" s="227"/>
      <x:c r="X5" s="227"/>
      <x:c r="Y5" s="227"/>
      <x:c r="Z5" s="227"/>
    </x:row>
    <x:row r="6">
      <x:c r="A6" s="243" t="str">
        <x:v>Forecast months</x:v>
      </x:c>
      <x:c r="B6" s="247" t="n">
        <x:v>21</x:v>
      </x:c>
      <x:c r="C6" s="245" t="str">
        <x:v>months</x:v>
      </x:c>
      <x:c r="D6" s="245" t="str">
        <x:v>Both</x:v>
      </x:c>
      <x:c r="E6" s="246" t="str">
        <x:v>Confirmed</x:v>
      </x:c>
      <x:c r="F6" s="245" t="str">
        <x:v>Management instruction</x:v>
      </x:c>
      <x:c r="G6" s="227"/>
      <x:c r="H6" s="227"/>
      <x:c r="I6" s="227"/>
      <x:c r="J6" s="227"/>
      <x:c r="K6" s="227"/>
      <x:c r="L6" s="227"/>
      <x:c r="M6" s="227"/>
      <x:c r="N6" s="227"/>
      <x:c r="O6" s="227"/>
      <x:c r="P6" s="227"/>
      <x:c r="Q6" s="227"/>
      <x:c r="R6" s="227"/>
      <x:c r="S6" s="227"/>
      <x:c r="T6" s="227"/>
      <x:c r="U6" s="227"/>
      <x:c r="V6" s="227"/>
      <x:c r="W6" s="227"/>
      <x:c r="X6" s="227"/>
      <x:c r="Y6" s="227"/>
      <x:c r="Z6" s="227"/>
    </x:row>
    <x:row r="7">
      <x:c r="A7" s="248" t="str">
        <x:v>EUR per USD</x:v>
      </x:c>
      <x:c r="B7" s="249" t="n">
        <x:v>0.92</x:v>
      </x:c>
      <x:c r="C7" s="250" t="str">
        <x:v>EUR/USD</x:v>
      </x:c>
      <x:c r="D7" s="250" t="str">
        <x:v>Both</x:v>
      </x:c>
      <x:c r="E7" s="251" t="str">
        <x:v>Assumption</x:v>
      </x:c>
      <x:c r="F7" s="250" t="str">
        <x:v>Editable FX conversion</x:v>
      </x:c>
      <x:c r="G7" s="227"/>
      <x:c r="H7" s="227"/>
      <x:c r="I7" s="227"/>
      <x:c r="J7" s="227"/>
      <x:c r="K7" s="227"/>
      <x:c r="L7" s="227"/>
      <x:c r="M7" s="227"/>
      <x:c r="N7" s="227"/>
      <x:c r="O7" s="227"/>
      <x:c r="P7" s="227"/>
      <x:c r="Q7" s="227"/>
      <x:c r="R7" s="227"/>
      <x:c r="S7" s="227"/>
      <x:c r="T7" s="227"/>
      <x:c r="U7" s="227"/>
      <x:c r="V7" s="227"/>
      <x:c r="W7" s="227"/>
      <x:c r="X7" s="227"/>
      <x:c r="Y7" s="227"/>
      <x:c r="Z7" s="227"/>
    </x:row>
    <x:row r="8">
      <x:c r="A8" s="243" t="str">
        <x:v>Days per modelling month</x:v>
      </x:c>
      <x:c r="B8" s="247" t="n">
        <x:v>30</x:v>
      </x:c>
      <x:c r="C8" s="245" t="str">
        <x:v>days</x:v>
      </x:c>
      <x:c r="D8" s="245" t="str">
        <x:v>Both</x:v>
      </x:c>
      <x:c r="E8" s="246" t="str">
        <x:v>Assumption</x:v>
      </x:c>
      <x:c r="F8" s="245" t="str">
        <x:v>Operating convention</x:v>
      </x:c>
      <x:c r="G8" s="227"/>
      <x:c r="H8" s="227"/>
      <x:c r="I8" s="227"/>
      <x:c r="J8" s="227"/>
      <x:c r="K8" s="227"/>
      <x:c r="L8" s="227"/>
      <x:c r="M8" s="227"/>
      <x:c r="N8" s="227"/>
      <x:c r="O8" s="227"/>
      <x:c r="P8" s="227"/>
      <x:c r="Q8" s="227"/>
      <x:c r="R8" s="227"/>
      <x:c r="S8" s="227"/>
      <x:c r="T8" s="227"/>
      <x:c r="U8" s="227"/>
      <x:c r="V8" s="227"/>
      <x:c r="W8" s="227"/>
      <x:c r="X8" s="227"/>
      <x:c r="Y8" s="227"/>
      <x:c r="Z8" s="227"/>
    </x:row>
    <x:row r="9">
      <x:c r="A9" s="243" t="str">
        <x:v>Commercial first-month utilisation</x:v>
      </x:c>
      <x:c r="B9" s="252" t="n">
        <x:v>0.75</x:v>
      </x:c>
      <x:c r="C9" s="245" t="str">
        <x:v>%</x:v>
      </x:c>
      <x:c r="D9" s="245" t="str">
        <x:v>Both</x:v>
      </x:c>
      <x:c r="E9" s="246" t="str">
        <x:v>Assumption</x:v>
      </x:c>
      <x:c r="F9" s="245" t="str">
        <x:v>Ramp on commissioning</x:v>
      </x:c>
      <x:c r="G9" s="227"/>
      <x:c r="H9" s="227"/>
      <x:c r="I9" s="227"/>
      <x:c r="J9" s="227"/>
      <x:c r="K9" s="227"/>
      <x:c r="L9" s="227"/>
      <x:c r="M9" s="227"/>
      <x:c r="N9" s="227"/>
      <x:c r="O9" s="227"/>
      <x:c r="P9" s="227"/>
      <x:c r="Q9" s="227"/>
      <x:c r="R9" s="227"/>
      <x:c r="S9" s="227"/>
      <x:c r="T9" s="227"/>
      <x:c r="U9" s="227"/>
      <x:c r="V9" s="227"/>
      <x:c r="W9" s="227"/>
      <x:c r="X9" s="227"/>
      <x:c r="Y9" s="227"/>
      <x:c r="Z9" s="227"/>
    </x:row>
    <x:row r="10">
      <x:c r="A10" s="243" t="str">
        <x:v>Pilot first-month utilisation</x:v>
      </x:c>
      <x:c r="B10" s="252" t="n">
        <x:v>0.5</x:v>
      </x:c>
      <x:c r="C10" s="245" t="str">
        <x:v>%</x:v>
      </x:c>
      <x:c r="D10" s="245" t="str">
        <x:v>Both</x:v>
      </x:c>
      <x:c r="E10" s="246" t="str">
        <x:v>Confirmed</x:v>
      </x:c>
      <x:c r="F10" s="245" t="str">
        <x:v>Pilot starts mid-Oct-26</x:v>
      </x:c>
      <x:c r="G10" s="227"/>
      <x:c r="H10" s="227"/>
      <x:c r="I10" s="227"/>
      <x:c r="J10" s="227"/>
      <x:c r="K10" s="227"/>
      <x:c r="L10" s="227"/>
      <x:c r="M10" s="227"/>
      <x:c r="N10" s="227"/>
      <x:c r="O10" s="227"/>
      <x:c r="P10" s="227"/>
      <x:c r="Q10" s="227"/>
      <x:c r="R10" s="227"/>
      <x:c r="S10" s="227"/>
      <x:c r="T10" s="227"/>
      <x:c r="U10" s="227"/>
      <x:c r="V10" s="227"/>
      <x:c r="W10" s="227"/>
      <x:c r="X10" s="227"/>
      <x:c r="Y10" s="227"/>
      <x:c r="Z10" s="227"/>
    </x:row>
    <x:row r="11">
      <x:c r="A11" s="243" t="str">
        <x:v>Machine order-to-live lag</x:v>
      </x:c>
      <x:c r="B11" s="247" t="n">
        <x:v>5</x:v>
      </x:c>
      <x:c r="C11" s="245" t="str">
        <x:v>months</x:v>
      </x:c>
      <x:c r="D11" s="245" t="str">
        <x:v>Both</x:v>
      </x:c>
      <x:c r="E11" s="246" t="str">
        <x:v>Confirmed working assumption</x:v>
      </x:c>
      <x:c r="F11" s="245" t="str">
        <x:v>40d production + 45d sea + 10d customs + personalisation</x:v>
      </x:c>
      <x:c r="G11" s="227"/>
      <x:c r="H11" s="227"/>
      <x:c r="I11" s="227"/>
      <x:c r="J11" s="227"/>
      <x:c r="K11" s="227"/>
      <x:c r="L11" s="227"/>
      <x:c r="M11" s="227"/>
      <x:c r="N11" s="227"/>
      <x:c r="O11" s="227"/>
      <x:c r="P11" s="227"/>
      <x:c r="Q11" s="227"/>
      <x:c r="R11" s="227"/>
      <x:c r="S11" s="227"/>
      <x:c r="T11" s="227"/>
      <x:c r="U11" s="227"/>
      <x:c r="V11" s="227"/>
      <x:c r="W11" s="227"/>
      <x:c r="X11" s="227"/>
      <x:c r="Y11" s="227"/>
      <x:c r="Z11" s="227"/>
    </x:row>
    <x:row r="12">
      <x:c r="A12" s="243" t="str">
        <x:v>Machine balance-payment lag</x:v>
      </x:c>
      <x:c r="B12" s="247" t="n">
        <x:v>2</x:v>
      </x:c>
      <x:c r="C12" s="245" t="str">
        <x:v>months</x:v>
      </x:c>
      <x:c r="D12" s="245" t="str">
        <x:v>Both</x:v>
      </x:c>
      <x:c r="E12" s="246" t="str">
        <x:v>Confirmed working assumption</x:v>
      </x:c>
      <x:c r="F12" s="245" t="str">
        <x:v>75% before shipment</x:v>
      </x:c>
      <x:c r="G12" s="227"/>
      <x:c r="H12" s="227"/>
      <x:c r="I12" s="227"/>
      <x:c r="J12" s="227"/>
      <x:c r="K12" s="227"/>
      <x:c r="L12" s="227"/>
      <x:c r="M12" s="227"/>
      <x:c r="N12" s="227"/>
      <x:c r="O12" s="227"/>
      <x:c r="P12" s="227"/>
      <x:c r="Q12" s="227"/>
      <x:c r="R12" s="227"/>
      <x:c r="S12" s="227"/>
      <x:c r="T12" s="227"/>
      <x:c r="U12" s="227"/>
      <x:c r="V12" s="227"/>
      <x:c r="W12" s="227"/>
      <x:c r="X12" s="227"/>
      <x:c r="Y12" s="227"/>
      <x:c r="Z12" s="227"/>
    </x:row>
    <x:row r="13">
      <x:c r="A13" s="243" t="str">
        <x:v>Magnet receipt lag</x:v>
      </x:c>
      <x:c r="B13" s="247" t="n">
        <x:v>2</x:v>
      </x:c>
      <x:c r="C13" s="245" t="str">
        <x:v>months</x:v>
      </x:c>
      <x:c r="D13" s="245" t="str">
        <x:v>Both</x:v>
      </x:c>
      <x:c r="E13" s="246" t="str">
        <x:v>Confirmed working assumption</x:v>
      </x:c>
      <x:c r="F13" s="245" t="str">
        <x:v>30d production + 15d shipping</x:v>
      </x:c>
      <x:c r="G13" s="227"/>
      <x:c r="H13" s="227"/>
      <x:c r="I13" s="227"/>
      <x:c r="J13" s="227"/>
      <x:c r="K13" s="227"/>
      <x:c r="L13" s="227"/>
      <x:c r="M13" s="227"/>
      <x:c r="N13" s="227"/>
      <x:c r="O13" s="227"/>
      <x:c r="P13" s="227"/>
      <x:c r="Q13" s="227"/>
      <x:c r="R13" s="227"/>
      <x:c r="S13" s="227"/>
      <x:c r="T13" s="227"/>
      <x:c r="U13" s="227"/>
      <x:c r="V13" s="227"/>
      <x:c r="W13" s="227"/>
      <x:c r="X13" s="227"/>
      <x:c r="Y13" s="227"/>
      <x:c r="Z13" s="227"/>
    </x:row>
    <x:row r="14">
      <x:c r="A14" s="243" t="str">
        <x:v>Magnet balance-payment lag</x:v>
      </x:c>
      <x:c r="B14" s="247" t="n">
        <x:v>1</x:v>
      </x:c>
      <x:c r="C14" s="245" t="str">
        <x:v>months</x:v>
      </x:c>
      <x:c r="D14" s="245" t="str">
        <x:v>Both</x:v>
      </x:c>
      <x:c r="E14" s="246" t="str">
        <x:v>Confirmed</x:v>
      </x:c>
      <x:c r="F14" s="245" t="str">
        <x:v>75% before shipment</x:v>
      </x:c>
      <x:c r="G14" s="227"/>
      <x:c r="H14" s="227"/>
      <x:c r="I14" s="227"/>
      <x:c r="J14" s="227"/>
      <x:c r="K14" s="227"/>
      <x:c r="L14" s="227"/>
      <x:c r="M14" s="227"/>
      <x:c r="N14" s="227"/>
      <x:c r="O14" s="227"/>
      <x:c r="P14" s="227"/>
      <x:c r="Q14" s="227"/>
      <x:c r="R14" s="227"/>
      <x:c r="S14" s="227"/>
      <x:c r="T14" s="227"/>
      <x:c r="U14" s="227"/>
      <x:c r="V14" s="227"/>
      <x:c r="W14" s="227"/>
      <x:c r="X14" s="227"/>
      <x:c r="Y14" s="227"/>
      <x:c r="Z14" s="227"/>
    </x:row>
    <x:row r="15">
      <x:c r="A15" s="243" t="str">
        <x:v>Installation payment lag</x:v>
      </x:c>
      <x:c r="B15" s="247" t="n">
        <x:v>2</x:v>
      </x:c>
      <x:c r="C15" s="245" t="str">
        <x:v>months</x:v>
      </x:c>
      <x:c r="D15" s="245" t="str">
        <x:v>Both</x:v>
      </x:c>
      <x:c r="E15" s="246" t="str">
        <x:v>Confirmed</x:v>
      </x:c>
      <x:c r="F15" s="245" t="str">
        <x:v>Paid at 60 days</x:v>
      </x:c>
      <x:c r="G15" s="227"/>
      <x:c r="H15" s="227"/>
      <x:c r="I15" s="227"/>
      <x:c r="J15" s="227"/>
      <x:c r="K15" s="227"/>
      <x:c r="L15" s="227"/>
      <x:c r="M15" s="227"/>
      <x:c r="N15" s="227"/>
      <x:c r="O15" s="227"/>
      <x:c r="P15" s="227"/>
      <x:c r="Q15" s="227"/>
      <x:c r="R15" s="227"/>
      <x:c r="S15" s="227"/>
      <x:c r="T15" s="227"/>
      <x:c r="U15" s="227"/>
      <x:c r="V15" s="227"/>
      <x:c r="W15" s="227"/>
      <x:c r="X15" s="227"/>
      <x:c r="Y15" s="227"/>
      <x:c r="Z15" s="227"/>
    </x:row>
    <x:row r="16">
      <x:c r="A16" s="248" t="str">
        <x:v>Base reinvestment rate</x:v>
      </x:c>
      <x:c r="B16" s="253" t="n">
        <x:v>0.7</x:v>
      </x:c>
      <x:c r="C16" s="250" t="str">
        <x:v>% of cash above reserve</x:v>
      </x:c>
      <x:c r="D16" s="250" t="str">
        <x:v>Scenario 1</x:v>
      </x:c>
      <x:c r="E16" s="251" t="str">
        <x:v>Management policy</x:v>
      </x:c>
      <x:c r="F16" s="250" t="str">
        <x:v>Reviewed every two months</x:v>
      </x:c>
      <x:c r="G16" s="227"/>
      <x:c r="H16" s="227"/>
      <x:c r="I16" s="227"/>
      <x:c r="J16" s="227"/>
      <x:c r="K16" s="227"/>
      <x:c r="L16" s="227"/>
      <x:c r="M16" s="227"/>
      <x:c r="N16" s="227"/>
      <x:c r="O16" s="227"/>
      <x:c r="P16" s="227"/>
      <x:c r="Q16" s="227"/>
      <x:c r="R16" s="227"/>
      <x:c r="S16" s="227"/>
      <x:c r="T16" s="227"/>
      <x:c r="U16" s="227"/>
      <x:c r="V16" s="227"/>
      <x:c r="W16" s="227"/>
      <x:c r="X16" s="227"/>
      <x:c r="Y16" s="227"/>
      <x:c r="Z16" s="227"/>
    </x:row>
    <x:row r="17">
      <x:c r="A17" s="243" t="str">
        <x:v>Conservative reinvestment rate</x:v>
      </x:c>
      <x:c r="B17" s="252" t="n">
        <x:v>0.6</x:v>
      </x:c>
      <x:c r="C17" s="245" t="str">
        <x:v>% of cash above reserve</x:v>
      </x:c>
      <x:c r="D17" s="245" t="str">
        <x:v>Sensitivity</x:v>
      </x:c>
      <x:c r="E17" s="246" t="str">
        <x:v>Management policy</x:v>
      </x:c>
      <x:c r="F17" s="245" t="str">
        <x:v>Downside case</x:v>
      </x:c>
      <x:c r="G17" s="227"/>
      <x:c r="H17" s="227"/>
      <x:c r="I17" s="227"/>
      <x:c r="J17" s="227"/>
      <x:c r="K17" s="227"/>
      <x:c r="L17" s="227"/>
      <x:c r="M17" s="227"/>
      <x:c r="N17" s="227"/>
      <x:c r="O17" s="227"/>
      <x:c r="P17" s="227"/>
      <x:c r="Q17" s="227"/>
      <x:c r="R17" s="227"/>
      <x:c r="S17" s="227"/>
      <x:c r="T17" s="227"/>
      <x:c r="U17" s="227"/>
      <x:c r="V17" s="227"/>
      <x:c r="W17" s="227"/>
      <x:c r="X17" s="227"/>
      <x:c r="Y17" s="227"/>
      <x:c r="Z17" s="227"/>
    </x:row>
    <x:row r="18">
      <x:c r="A18" s="243" t="str">
        <x:v>Cash reserve</x:v>
      </x:c>
      <x:c r="B18" s="247" t="n">
        <x:v>3</x:v>
      </x:c>
      <x:c r="C18" s="245" t="str">
        <x:v>months fixed OPEX</x:v>
      </x:c>
      <x:c r="D18" s="245" t="str">
        <x:v>Both</x:v>
      </x:c>
      <x:c r="E18" s="246" t="str">
        <x:v>Management policy</x:v>
      </x:c>
      <x:c r="F18" s="245" t="str">
        <x:v>Before new machine commitments</x:v>
      </x:c>
      <x:c r="G18" s="227"/>
      <x:c r="H18" s="227"/>
      <x:c r="I18" s="227"/>
      <x:c r="J18" s="227"/>
      <x:c r="K18" s="227"/>
      <x:c r="L18" s="227"/>
      <x:c r="M18" s="227"/>
      <x:c r="N18" s="227"/>
      <x:c r="O18" s="227"/>
      <x:c r="P18" s="227"/>
      <x:c r="Q18" s="227"/>
      <x:c r="R18" s="227"/>
      <x:c r="S18" s="227"/>
      <x:c r="T18" s="227"/>
      <x:c r="U18" s="227"/>
      <x:c r="V18" s="227"/>
      <x:c r="W18" s="227"/>
      <x:c r="X18" s="227"/>
      <x:c r="Y18" s="227"/>
      <x:c r="Z18" s="227"/>
    </x:row>
    <x:row r="19">
      <x:c r="A19" s="243" t="str">
        <x:v>Lean OPEX start date</x:v>
      </x:c>
      <x:c r="B19" s="244" t="n">
        <x:v>46266</x:v>
      </x:c>
      <x:c r="C19" s="245" t="str">
        <x:v>date</x:v>
      </x:c>
      <x:c r="D19" s="245" t="str">
        <x:v>Both</x:v>
      </x:c>
      <x:c r="E19" s="246" t="str">
        <x:v>Assumption</x:v>
      </x:c>
      <x:c r="F19" s="245" t="str">
        <x:v>August development treated as shareholder-supported</x:v>
      </x:c>
      <x:c r="G19" s="227"/>
      <x:c r="H19" s="227"/>
      <x:c r="I19" s="227"/>
      <x:c r="J19" s="227"/>
      <x:c r="K19" s="227"/>
      <x:c r="L19" s="227"/>
      <x:c r="M19" s="227"/>
      <x:c r="N19" s="227"/>
      <x:c r="O19" s="227"/>
      <x:c r="P19" s="227"/>
      <x:c r="Q19" s="227"/>
      <x:c r="R19" s="227"/>
      <x:c r="S19" s="227"/>
      <x:c r="T19" s="227"/>
      <x:c r="U19" s="227"/>
      <x:c r="V19" s="227"/>
      <x:c r="W19" s="227"/>
      <x:c r="X19" s="227"/>
      <x:c r="Y19" s="227"/>
      <x:c r="Z19" s="227"/>
    </x:row>
    <x:row r="20">
      <x:c r="A20" s="243" t="str">
        <x:v>Pilot commercial start</x:v>
      </x:c>
      <x:c r="B20" s="244" t="n">
        <x:v>46296</x:v>
      </x:c>
      <x:c r="C20" s="245" t="str">
        <x:v>date</x:v>
      </x:c>
      <x:c r="D20" s="245" t="str">
        <x:v>Both</x:v>
      </x:c>
      <x:c r="E20" s="246" t="str">
        <x:v>Confirmed working assumption</x:v>
      </x:c>
      <x:c r="F20" s="245" t="str">
        <x:v>Mid-month launch modelled at 50%</x:v>
      </x:c>
      <x:c r="G20" s="227"/>
      <x:c r="H20" s="227"/>
      <x:c r="I20" s="227"/>
      <x:c r="J20" s="227"/>
      <x:c r="K20" s="227"/>
      <x:c r="L20" s="227"/>
      <x:c r="M20" s="227"/>
      <x:c r="N20" s="227"/>
      <x:c r="O20" s="227"/>
      <x:c r="P20" s="227"/>
      <x:c r="Q20" s="227"/>
      <x:c r="R20" s="227"/>
      <x:c r="S20" s="227"/>
      <x:c r="T20" s="227"/>
      <x:c r="U20" s="227"/>
      <x:c r="V20" s="227"/>
      <x:c r="W20" s="227"/>
      <x:c r="X20" s="227"/>
      <x:c r="Y20" s="227"/>
      <x:c r="Z20" s="227"/>
    </x:row>
    <x:row r="21">
      <x:c r="A21" s="239" t="str">
        <x:v>MACHINES &amp; FUNDING</x:v>
      </x:c>
      <x:c r="B21" s="240"/>
      <x:c r="C21" s="241"/>
      <x:c r="D21" s="241"/>
      <x:c r="E21" s="242"/>
      <x:c r="F21" s="241"/>
      <x:c r="G21" s="227"/>
      <x:c r="H21" s="227"/>
      <x:c r="I21" s="227"/>
      <x:c r="J21" s="227"/>
      <x:c r="K21" s="227"/>
      <x:c r="L21" s="227"/>
      <x:c r="M21" s="227"/>
      <x:c r="N21" s="227"/>
      <x:c r="O21" s="227"/>
      <x:c r="P21" s="227"/>
      <x:c r="Q21" s="227"/>
      <x:c r="R21" s="227"/>
      <x:c r="S21" s="227"/>
      <x:c r="T21" s="227"/>
      <x:c r="U21" s="227"/>
      <x:c r="V21" s="227"/>
      <x:c r="W21" s="227"/>
      <x:c r="X21" s="227"/>
      <x:c r="Y21" s="227"/>
      <x:c r="Z21" s="227"/>
    </x:row>
    <x:row r="22">
      <x:c r="A22" s="243" t="str">
        <x:v>Large machine cost</x:v>
      </x:c>
      <x:c r="B22" s="247" t="n">
        <x:v>2700</x:v>
      </x:c>
      <x:c r="C22" s="245" t="str">
        <x:v>USD/unit</x:v>
      </x:c>
      <x:c r="D22" s="245" t="str">
        <x:v>Both</x:v>
      </x:c>
      <x:c r="E22" s="246" t="str">
        <x:v>Confirmed estimate</x:v>
      </x:c>
      <x:c r="F22" s="245" t="str">
        <x:v>630-unit machine</x:v>
      </x:c>
      <x:c r="G22" s="227"/>
      <x:c r="H22" s="227"/>
      <x:c r="I22" s="227"/>
      <x:c r="J22" s="227"/>
      <x:c r="K22" s="227"/>
      <x:c r="L22" s="227"/>
      <x:c r="M22" s="227"/>
      <x:c r="N22" s="227"/>
      <x:c r="O22" s="227"/>
      <x:c r="P22" s="227"/>
      <x:c r="Q22" s="227"/>
      <x:c r="R22" s="227"/>
      <x:c r="S22" s="227"/>
      <x:c r="T22" s="227"/>
      <x:c r="U22" s="227"/>
      <x:c r="V22" s="227"/>
      <x:c r="W22" s="227"/>
      <x:c r="X22" s="227"/>
      <x:c r="Y22" s="227"/>
      <x:c r="Z22" s="227"/>
    </x:row>
    <x:row r="23">
      <x:c r="A23" s="243" t="str">
        <x:v>Compact machine cost</x:v>
      </x:c>
      <x:c r="B23" s="247" t="n">
        <x:v>1550</x:v>
      </x:c>
      <x:c r="C23" s="245" t="str">
        <x:v>USD/unit</x:v>
      </x:c>
      <x:c r="D23" s="245" t="str">
        <x:v>Both</x:v>
      </x:c>
      <x:c r="E23" s="246" t="str">
        <x:v>Confirmed estimate</x:v>
      </x:c>
      <x:c r="F23" s="245" t="str">
        <x:v>136-unit machine; midpoint of US$1.5k–1.6k</x:v>
      </x:c>
      <x:c r="G23" s="227"/>
      <x:c r="H23" s="227"/>
      <x:c r="I23" s="227"/>
      <x:c r="J23" s="227"/>
      <x:c r="K23" s="227"/>
      <x:c r="L23" s="227"/>
      <x:c r="M23" s="227"/>
      <x:c r="N23" s="227"/>
      <x:c r="O23" s="227"/>
      <x:c r="P23" s="227"/>
      <x:c r="Q23" s="227"/>
      <x:c r="R23" s="227"/>
      <x:c r="S23" s="227"/>
      <x:c r="T23" s="227"/>
      <x:c r="U23" s="227"/>
      <x:c r="V23" s="227"/>
      <x:c r="W23" s="227"/>
      <x:c r="X23" s="227"/>
      <x:c r="Y23" s="227"/>
      <x:c r="Z23" s="227"/>
    </x:row>
    <x:row r="24">
      <x:c r="A24" s="243" t="str">
        <x:v>Freight, customs and clearance</x:v>
      </x:c>
      <x:c r="B24" s="247" t="n">
        <x:v>500</x:v>
      </x:c>
      <x:c r="C24" s="245" t="str">
        <x:v>USD/machine</x:v>
      </x:c>
      <x:c r="D24" s="245" t="str">
        <x:v>Both</x:v>
      </x:c>
      <x:c r="E24" s="246" t="str">
        <x:v>Confirmed estimate</x:v>
      </x:c>
      <x:c r="F24" s="245" t="str">
        <x:v>Includes freight, duties and customs management</x:v>
      </x:c>
      <x:c r="G24" s="227"/>
      <x:c r="H24" s="227"/>
      <x:c r="I24" s="227"/>
      <x:c r="J24" s="227"/>
      <x:c r="K24" s="227"/>
      <x:c r="L24" s="227"/>
      <x:c r="M24" s="227"/>
      <x:c r="N24" s="227"/>
      <x:c r="O24" s="227"/>
      <x:c r="P24" s="227"/>
      <x:c r="Q24" s="227"/>
      <x:c r="R24" s="227"/>
      <x:c r="S24" s="227"/>
      <x:c r="T24" s="227"/>
      <x:c r="U24" s="227"/>
      <x:c r="V24" s="227"/>
      <x:c r="W24" s="227"/>
      <x:c r="X24" s="227"/>
      <x:c r="Y24" s="227"/>
      <x:c r="Z24" s="227"/>
    </x:row>
    <x:row r="25">
      <x:c r="A25" s="243" t="str">
        <x:v>Initial large machines</x:v>
      </x:c>
      <x:c r="B25" s="247" t="n">
        <x:v>25</x:v>
      </x:c>
      <x:c r="C25" s="245" t="str">
        <x:v>units</x:v>
      </x:c>
      <x:c r="D25" s="245" t="str">
        <x:v>Both</x:v>
      </x:c>
      <x:c r="E25" s="246" t="str">
        <x:v>Confirmed</x:v>
      </x:c>
      <x:c r="F25" s="245" t="str">
        <x:v>New commercial order</x:v>
      </x:c>
      <x:c r="G25" s="227"/>
      <x:c r="H25" s="227"/>
      <x:c r="I25" s="227"/>
      <x:c r="J25" s="227"/>
      <x:c r="K25" s="227"/>
      <x:c r="L25" s="227"/>
      <x:c r="M25" s="227"/>
      <x:c r="N25" s="227"/>
      <x:c r="O25" s="227"/>
      <x:c r="P25" s="227"/>
      <x:c r="Q25" s="227"/>
      <x:c r="R25" s="227"/>
      <x:c r="S25" s="227"/>
      <x:c r="T25" s="227"/>
      <x:c r="U25" s="227"/>
      <x:c r="V25" s="227"/>
      <x:c r="W25" s="227"/>
      <x:c r="X25" s="227"/>
      <x:c r="Y25" s="227"/>
      <x:c r="Z25" s="227"/>
    </x:row>
    <x:row r="26">
      <x:c r="A26" s="243" t="str">
        <x:v>Initial compact machines</x:v>
      </x:c>
      <x:c r="B26" s="247" t="n">
        <x:v>5</x:v>
      </x:c>
      <x:c r="C26" s="245" t="str">
        <x:v>units</x:v>
      </x:c>
      <x:c r="D26" s="245" t="str">
        <x:v>Both</x:v>
      </x:c>
      <x:c r="E26" s="246" t="str">
        <x:v>Confirmed</x:v>
      </x:c>
      <x:c r="F26" s="245" t="str">
        <x:v>New commercial order</x:v>
      </x:c>
      <x:c r="G26" s="227"/>
      <x:c r="H26" s="227"/>
      <x:c r="I26" s="227"/>
      <x:c r="J26" s="227"/>
      <x:c r="K26" s="227"/>
      <x:c r="L26" s="227"/>
      <x:c r="M26" s="227"/>
      <x:c r="N26" s="227"/>
      <x:c r="O26" s="227"/>
      <x:c r="P26" s="227"/>
      <x:c r="Q26" s="227"/>
      <x:c r="R26" s="227"/>
      <x:c r="S26" s="227"/>
      <x:c r="T26" s="227"/>
      <x:c r="U26" s="227"/>
      <x:c r="V26" s="227"/>
      <x:c r="W26" s="227"/>
      <x:c r="X26" s="227"/>
      <x:c r="Y26" s="227"/>
      <x:c r="Z26" s="227"/>
    </x:row>
    <x:row r="27">
      <x:c r="A27" s="243" t="str">
        <x:v>Initial commercial machines</x:v>
      </x:c>
      <x:c r="B27" s="254" t="n">
        <x:f>B25+B26</x:f>
        <x:v>30</x:v>
      </x:c>
      <x:c r="C27" s="245" t="str">
        <x:v>units</x:v>
      </x:c>
      <x:c r="D27" s="245" t="str">
        <x:v>Both</x:v>
      </x:c>
      <x:c r="E27" s="246" t="str">
        <x:v>Formula</x:v>
      </x:c>
      <x:c r="F27" s="245" t="str">
        <x:v>25 + 5</x:v>
      </x:c>
      <x:c r="G27" s="227"/>
      <x:c r="H27" s="227"/>
      <x:c r="I27" s="227"/>
      <x:c r="J27" s="227"/>
      <x:c r="K27" s="227"/>
      <x:c r="L27" s="227"/>
      <x:c r="M27" s="227"/>
      <x:c r="N27" s="227"/>
      <x:c r="O27" s="227"/>
      <x:c r="P27" s="227"/>
      <x:c r="Q27" s="227"/>
      <x:c r="R27" s="227"/>
      <x:c r="S27" s="227"/>
      <x:c r="T27" s="227"/>
      <x:c r="U27" s="227"/>
      <x:c r="V27" s="227"/>
      <x:c r="W27" s="227"/>
      <x:c r="X27" s="227"/>
      <x:c r="Y27" s="227"/>
      <x:c r="Z27" s="227"/>
    </x:row>
    <x:row r="28">
      <x:c r="A28" s="243" t="str">
        <x:v>Pilot large machines</x:v>
      </x:c>
      <x:c r="B28" s="247" t="n">
        <x:v>1</x:v>
      </x:c>
      <x:c r="C28" s="245" t="str">
        <x:v>unit</x:v>
      </x:c>
      <x:c r="D28" s="245" t="str">
        <x:v>Both</x:v>
      </x:c>
      <x:c r="E28" s="246" t="str">
        <x:v>Already funded</x:v>
      </x:c>
      <x:c r="F28" s="245" t="str">
        <x:v>Shareholder-funded historical asset</x:v>
      </x:c>
      <x:c r="G28" s="227"/>
      <x:c r="H28" s="227"/>
      <x:c r="I28" s="227"/>
      <x:c r="J28" s="227"/>
      <x:c r="K28" s="227"/>
      <x:c r="L28" s="227"/>
      <x:c r="M28" s="227"/>
      <x:c r="N28" s="227"/>
      <x:c r="O28" s="227"/>
      <x:c r="P28" s="227"/>
      <x:c r="Q28" s="227"/>
      <x:c r="R28" s="227"/>
      <x:c r="S28" s="227"/>
      <x:c r="T28" s="227"/>
      <x:c r="U28" s="227"/>
      <x:c r="V28" s="227"/>
      <x:c r="W28" s="227"/>
      <x:c r="X28" s="227"/>
      <x:c r="Y28" s="227"/>
      <x:c r="Z28" s="227"/>
    </x:row>
    <x:row r="29">
      <x:c r="A29" s="243" t="str">
        <x:v>Pilot compact machines</x:v>
      </x:c>
      <x:c r="B29" s="247" t="n">
        <x:v>1</x:v>
      </x:c>
      <x:c r="C29" s="245" t="str">
        <x:v>unit</x:v>
      </x:c>
      <x:c r="D29" s="245" t="str">
        <x:v>Both</x:v>
      </x:c>
      <x:c r="E29" s="246" t="str">
        <x:v>Already funded</x:v>
      </x:c>
      <x:c r="F29" s="245" t="str">
        <x:v>Shareholder-funded historical asset</x:v>
      </x:c>
      <x:c r="G29" s="227"/>
      <x:c r="H29" s="227"/>
      <x:c r="I29" s="227"/>
      <x:c r="J29" s="227"/>
      <x:c r="K29" s="227"/>
      <x:c r="L29" s="227"/>
      <x:c r="M29" s="227"/>
      <x:c r="N29" s="227"/>
      <x:c r="O29" s="227"/>
      <x:c r="P29" s="227"/>
      <x:c r="Q29" s="227"/>
      <x:c r="R29" s="227"/>
      <x:c r="S29" s="227"/>
      <x:c r="T29" s="227"/>
      <x:c r="U29" s="227"/>
      <x:c r="V29" s="227"/>
      <x:c r="W29" s="227"/>
      <x:c r="X29" s="227"/>
      <x:c r="Y29" s="227"/>
      <x:c r="Z29" s="227"/>
    </x:row>
    <x:row r="30">
      <x:c r="A30" s="243" t="str">
        <x:v>Seed funding to MAGNÆRA</x:v>
      </x:c>
      <x:c r="B30" s="255" t="n">
        <x:v>230000</x:v>
      </x:c>
      <x:c r="C30" s="245" t="str">
        <x:v>EUR</x:v>
      </x:c>
      <x:c r="D30" s="245" t="str">
        <x:v>Both</x:v>
      </x:c>
      <x:c r="E30" s="246" t="str">
        <x:v>Confirmed working case</x:v>
      </x:c>
      <x:c r="F30" s="245" t="str">
        <x:v>Assumed Sep-26</x:v>
      </x:c>
      <x:c r="G30" s="227"/>
      <x:c r="H30" s="227"/>
      <x:c r="I30" s="227"/>
      <x:c r="J30" s="227"/>
      <x:c r="K30" s="227"/>
      <x:c r="L30" s="227"/>
      <x:c r="M30" s="227"/>
      <x:c r="N30" s="227"/>
      <x:c r="O30" s="227"/>
      <x:c r="P30" s="227"/>
      <x:c r="Q30" s="227"/>
      <x:c r="R30" s="227"/>
      <x:c r="S30" s="227"/>
      <x:c r="T30" s="227"/>
      <x:c r="U30" s="227"/>
      <x:c r="V30" s="227"/>
      <x:c r="W30" s="227"/>
      <x:c r="X30" s="227"/>
      <x:c r="Y30" s="227"/>
      <x:c r="Z30" s="227"/>
    </x:row>
    <x:row r="31">
      <x:c r="A31" s="243" t="str">
        <x:v>Seed funding month</x:v>
      </x:c>
      <x:c r="B31" s="244" t="n">
        <x:v>46266</x:v>
      </x:c>
      <x:c r="C31" s="245" t="str">
        <x:v>date</x:v>
      </x:c>
      <x:c r="D31" s="245" t="str">
        <x:v>Both</x:v>
      </x:c>
      <x:c r="E31" s="246" t="str">
        <x:v>Confirmed working case</x:v>
      </x:c>
      <x:c r="F31" s="245" t="str">
        <x:v>ASTERDAIL funding allocation used in MAGNÆRA model</x:v>
      </x:c>
      <x:c r="G31" s="227"/>
      <x:c r="H31" s="227"/>
      <x:c r="I31" s="227"/>
      <x:c r="J31" s="227"/>
      <x:c r="K31" s="227"/>
      <x:c r="L31" s="227"/>
      <x:c r="M31" s="227"/>
      <x:c r="N31" s="227"/>
      <x:c r="O31" s="227"/>
      <x:c r="P31" s="227"/>
      <x:c r="Q31" s="227"/>
      <x:c r="R31" s="227"/>
      <x:c r="S31" s="227"/>
      <x:c r="T31" s="227"/>
      <x:c r="U31" s="227"/>
      <x:c r="V31" s="227"/>
      <x:c r="W31" s="227"/>
      <x:c r="X31" s="227"/>
      <x:c r="Y31" s="227"/>
      <x:c r="Z31" s="227"/>
    </x:row>
    <x:row r="32">
      <x:c r="A32" s="243" t="str">
        <x:v>Institutional round</x:v>
      </x:c>
      <x:c r="B32" s="255" t="n">
        <x:v>4000000</x:v>
      </x:c>
      <x:c r="C32" s="245" t="str">
        <x:v>EUR</x:v>
      </x:c>
      <x:c r="D32" s="245" t="str">
        <x:v>Scenario 2</x:v>
      </x:c>
      <x:c r="E32" s="246" t="str">
        <x:v>Management case</x:v>
      </x:c>
      <x:c r="F32" s="245" t="str">
        <x:v>Assumed Mar-27</x:v>
      </x:c>
      <x:c r="G32" s="227"/>
      <x:c r="H32" s="227"/>
      <x:c r="I32" s="227"/>
      <x:c r="J32" s="227"/>
      <x:c r="K32" s="227"/>
      <x:c r="L32" s="227"/>
      <x:c r="M32" s="227"/>
      <x:c r="N32" s="227"/>
      <x:c r="O32" s="227"/>
      <x:c r="P32" s="227"/>
      <x:c r="Q32" s="227"/>
      <x:c r="R32" s="227"/>
      <x:c r="S32" s="227"/>
      <x:c r="T32" s="227"/>
      <x:c r="U32" s="227"/>
      <x:c r="V32" s="227"/>
      <x:c r="W32" s="227"/>
      <x:c r="X32" s="227"/>
      <x:c r="Y32" s="227"/>
      <x:c r="Z32" s="227"/>
    </x:row>
    <x:row r="33">
      <x:c r="A33" s="243" t="str">
        <x:v>Institutional funding month</x:v>
      </x:c>
      <x:c r="B33" s="244" t="n">
        <x:v>46447</x:v>
      </x:c>
      <x:c r="C33" s="245" t="str">
        <x:v>date</x:v>
      </x:c>
      <x:c r="D33" s="245" t="str">
        <x:v>Scenario 2</x:v>
      </x:c>
      <x:c r="E33" s="246" t="str">
        <x:v>Management case</x:v>
      </x:c>
      <x:c r="F33" s="245" t="str">
        <x:v>Round preparation begins Jan-27</x:v>
      </x:c>
      <x:c r="G33" s="227"/>
      <x:c r="H33" s="227"/>
      <x:c r="I33" s="227"/>
      <x:c r="J33" s="227"/>
      <x:c r="K33" s="227"/>
      <x:c r="L33" s="227"/>
      <x:c r="M33" s="227"/>
      <x:c r="N33" s="227"/>
      <x:c r="O33" s="227"/>
      <x:c r="P33" s="227"/>
      <x:c r="Q33" s="227"/>
      <x:c r="R33" s="227"/>
      <x:c r="S33" s="227"/>
      <x:c r="T33" s="227"/>
      <x:c r="U33" s="227"/>
      <x:c r="V33" s="227"/>
      <x:c r="W33" s="227"/>
      <x:c r="X33" s="227"/>
      <x:c r="Y33" s="227"/>
      <x:c r="Z33" s="227"/>
    </x:row>
    <x:row r="34">
      <x:c r="A34" s="243" t="str">
        <x:v>Institutional first programme</x:v>
      </x:c>
      <x:c r="B34" s="247" t="n">
        <x:v>300</x:v>
      </x:c>
      <x:c r="C34" s="245" t="str">
        <x:v>machines</x:v>
      </x:c>
      <x:c r="D34" s="245" t="str">
        <x:v>Scenario 2</x:v>
      </x:c>
      <x:c r="E34" s="246" t="str">
        <x:v>Confirmed</x:v>
      </x:c>
      <x:c r="F34" s="245" t="str">
        <x:v>100 + 100 + 100 ordered Mar-May 2027</x:v>
      </x:c>
      <x:c r="G34" s="227"/>
      <x:c r="H34" s="227"/>
      <x:c r="I34" s="227"/>
      <x:c r="J34" s="227"/>
      <x:c r="K34" s="227"/>
      <x:c r="L34" s="227"/>
      <x:c r="M34" s="227"/>
      <x:c r="N34" s="227"/>
      <x:c r="O34" s="227"/>
      <x:c r="P34" s="227"/>
      <x:c r="Q34" s="227"/>
      <x:c r="R34" s="227"/>
      <x:c r="S34" s="227"/>
      <x:c r="T34" s="227"/>
      <x:c r="U34" s="227"/>
      <x:c r="V34" s="227"/>
      <x:c r="W34" s="227"/>
      <x:c r="X34" s="227"/>
      <x:c r="Y34" s="227"/>
      <x:c r="Z34" s="227"/>
    </x:row>
    <x:row r="35">
      <x:c r="A35" s="243" t="str">
        <x:v>Institutional follow-on programme</x:v>
      </x:c>
      <x:c r="B35" s="247" t="n">
        <x:v>700</x:v>
      </x:c>
      <x:c r="C35" s="245" t="str">
        <x:v>machines</x:v>
      </x:c>
      <x:c r="D35" s="245" t="str">
        <x:v>Scenario 2</x:v>
      </x:c>
      <x:c r="E35" s="246" t="str">
        <x:v>Confirmed</x:v>
      </x:c>
      <x:c r="F35" s="245" t="str">
        <x:v>200 + 200 + 300 ordered Jun-Oct 2027</x:v>
      </x:c>
      <x:c r="G35" s="227"/>
      <x:c r="H35" s="227"/>
      <x:c r="I35" s="227"/>
      <x:c r="J35" s="227"/>
      <x:c r="K35" s="227"/>
      <x:c r="L35" s="227"/>
      <x:c r="M35" s="227"/>
      <x:c r="N35" s="227"/>
      <x:c r="O35" s="227"/>
      <x:c r="P35" s="227"/>
      <x:c r="Q35" s="227"/>
      <x:c r="R35" s="227"/>
      <x:c r="S35" s="227"/>
      <x:c r="T35" s="227"/>
      <x:c r="U35" s="227"/>
      <x:c r="V35" s="227"/>
      <x:c r="W35" s="227"/>
      <x:c r="X35" s="227"/>
      <x:c r="Y35" s="227"/>
      <x:c r="Z35" s="227"/>
    </x:row>
    <x:row r="36">
      <x:c r="A36" s="243" t="str">
        <x:v>Installation cost</x:v>
      </x:c>
      <x:c r="B36" s="256" t="n">
        <x:v>150</x:v>
      </x:c>
      <x:c r="C36" s="245" t="str">
        <x:v>EUR/machine</x:v>
      </x:c>
      <x:c r="D36" s="245" t="str">
        <x:v>Both</x:v>
      </x:c>
      <x:c r="E36" s="246" t="str">
        <x:v>Confirmed</x:v>
      </x:c>
      <x:c r="F36" s="245" t="str">
        <x:v>Paid at 60 days</x:v>
      </x:c>
      <x:c r="G36" s="227"/>
      <x:c r="H36" s="227"/>
      <x:c r="I36" s="227"/>
      <x:c r="J36" s="227"/>
      <x:c r="K36" s="227"/>
      <x:c r="L36" s="227"/>
      <x:c r="M36" s="227"/>
      <x:c r="N36" s="227"/>
      <x:c r="O36" s="227"/>
      <x:c r="P36" s="227"/>
      <x:c r="Q36" s="227"/>
      <x:c r="R36" s="227"/>
      <x:c r="S36" s="227"/>
      <x:c r="T36" s="227"/>
      <x:c r="U36" s="227"/>
      <x:c r="V36" s="227"/>
      <x:c r="W36" s="227"/>
      <x:c r="X36" s="227"/>
      <x:c r="Y36" s="227"/>
      <x:c r="Z36" s="227"/>
    </x:row>
    <x:row r="37">
      <x:c r="A37" s="243" t="str">
        <x:v>Weighted landed machine cost</x:v>
      </x:c>
      <x:c r="B37" s="257" t="n">
        <x:f>((B25*B22+B26*B23)/B27+B24)*B7</x:f>
        <x:v>2767.666666666667</x:v>
      </x:c>
      <x:c r="C37" s="245" t="str">
        <x:v>EUR/machine</x:v>
      </x:c>
      <x:c r="D37" s="245" t="str">
        <x:v>Both</x:v>
      </x:c>
      <x:c r="E37" s="246" t="str">
        <x:v>Formula</x:v>
      </x:c>
      <x:c r="F37" s="245" t="str">
        <x:v>Initial mix + freight/customs</x:v>
      </x:c>
      <x:c r="G37" s="227"/>
      <x:c r="H37" s="227"/>
      <x:c r="I37" s="227"/>
      <x:c r="J37" s="227"/>
      <x:c r="K37" s="227"/>
      <x:c r="L37" s="227"/>
      <x:c r="M37" s="227"/>
      <x:c r="N37" s="227"/>
      <x:c r="O37" s="227"/>
      <x:c r="P37" s="227"/>
      <x:c r="Q37" s="227"/>
      <x:c r="R37" s="227"/>
      <x:c r="S37" s="227"/>
      <x:c r="T37" s="227"/>
      <x:c r="U37" s="227"/>
      <x:c r="V37" s="227"/>
      <x:c r="W37" s="227"/>
      <x:c r="X37" s="227"/>
      <x:c r="Y37" s="227"/>
      <x:c r="Z37" s="227"/>
    </x:row>
    <x:row r="38">
      <x:c r="A38" s="239" t="str">
        <x:v>PRODUCT MIX &amp; VENDING ECONOMICS</x:v>
      </x:c>
      <x:c r="B38" s="240"/>
      <x:c r="C38" s="241"/>
      <x:c r="D38" s="241"/>
      <x:c r="E38" s="242"/>
      <x:c r="F38" s="241"/>
      <x:c r="G38" s="227"/>
      <x:c r="H38" s="227"/>
      <x:c r="I38" s="227"/>
      <x:c r="J38" s="227"/>
      <x:c r="K38" s="227"/>
      <x:c r="L38" s="227"/>
      <x:c r="M38" s="227"/>
      <x:c r="N38" s="227"/>
      <x:c r="O38" s="227"/>
      <x:c r="P38" s="227"/>
      <x:c r="Q38" s="227"/>
      <x:c r="R38" s="227"/>
      <x:c r="S38" s="227"/>
      <x:c r="T38" s="227"/>
      <x:c r="U38" s="227"/>
      <x:c r="V38" s="227"/>
      <x:c r="W38" s="227"/>
      <x:c r="X38" s="227"/>
      <x:c r="Y38" s="227"/>
      <x:c r="Z38" s="227"/>
    </x:row>
    <x:row r="39">
      <x:c r="A39" s="243" t="str">
        <x:v>Standard mix</x:v>
      </x:c>
      <x:c r="B39" s="252" t="n">
        <x:v>0.5</x:v>
      </x:c>
      <x:c r="C39" s="245" t="str">
        <x:v>% units</x:v>
      </x:c>
      <x:c r="D39" s="245" t="str">
        <x:v>Both</x:v>
      </x:c>
      <x:c r="E39" s="246" t="str">
        <x:v>Confirmed</x:v>
      </x:c>
      <x:c r="F39" s="245" t="str">
        <x:v>30,000-unit base order</x:v>
      </x:c>
      <x:c r="G39" s="227"/>
      <x:c r="H39" s="227"/>
      <x:c r="I39" s="227"/>
      <x:c r="J39" s="227"/>
      <x:c r="K39" s="227"/>
      <x:c r="L39" s="227"/>
      <x:c r="M39" s="227"/>
      <x:c r="N39" s="227"/>
      <x:c r="O39" s="227"/>
      <x:c r="P39" s="227"/>
      <x:c r="Q39" s="227"/>
      <x:c r="R39" s="227"/>
      <x:c r="S39" s="227"/>
      <x:c r="T39" s="227"/>
      <x:c r="U39" s="227"/>
      <x:c r="V39" s="227"/>
      <x:c r="W39" s="227"/>
      <x:c r="X39" s="227"/>
      <x:c r="Y39" s="227"/>
      <x:c r="Z39" s="227"/>
    </x:row>
    <x:row r="40">
      <x:c r="A40" s="243" t="str">
        <x:v>Premium numbered mix</x:v>
      </x:c>
      <x:c r="B40" s="252" t="n">
        <x:v>0.35</x:v>
      </x:c>
      <x:c r="C40" s="245" t="str">
        <x:v>% units</x:v>
      </x:c>
      <x:c r="D40" s="245" t="str">
        <x:v>Both</x:v>
      </x:c>
      <x:c r="E40" s="246" t="str">
        <x:v>Confirmed</x:v>
      </x:c>
      <x:c r="F40" s="245" t="str">
        <x:v>30,000-unit base order</x:v>
      </x:c>
      <x:c r="G40" s="227"/>
      <x:c r="H40" s="227"/>
      <x:c r="I40" s="227"/>
      <x:c r="J40" s="227"/>
      <x:c r="K40" s="227"/>
      <x:c r="L40" s="227"/>
      <x:c r="M40" s="227"/>
      <x:c r="N40" s="227"/>
      <x:c r="O40" s="227"/>
      <x:c r="P40" s="227"/>
      <x:c r="Q40" s="227"/>
      <x:c r="R40" s="227"/>
      <x:c r="S40" s="227"/>
      <x:c r="T40" s="227"/>
      <x:c r="U40" s="227"/>
      <x:c r="V40" s="227"/>
      <x:c r="W40" s="227"/>
      <x:c r="X40" s="227"/>
      <x:c r="Y40" s="227"/>
      <x:c r="Z40" s="227"/>
    </x:row>
    <x:row r="41">
      <x:c r="A41" s="243" t="str">
        <x:v>Swarovski mix</x:v>
      </x:c>
      <x:c r="B41" s="252" t="n">
        <x:v>0.15</x:v>
      </x:c>
      <x:c r="C41" s="245" t="str">
        <x:v>% units</x:v>
      </x:c>
      <x:c r="D41" s="245" t="str">
        <x:v>Both</x:v>
      </x:c>
      <x:c r="E41" s="246" t="str">
        <x:v>Confirmed</x:v>
      </x:c>
      <x:c r="F41" s="245" t="str">
        <x:v>30,000-unit base order</x:v>
      </x:c>
      <x:c r="G41" s="227"/>
      <x:c r="H41" s="227"/>
      <x:c r="I41" s="227"/>
      <x:c r="J41" s="227"/>
      <x:c r="K41" s="227"/>
      <x:c r="L41" s="227"/>
      <x:c r="M41" s="227"/>
      <x:c r="N41" s="227"/>
      <x:c r="O41" s="227"/>
      <x:c r="P41" s="227"/>
      <x:c r="Q41" s="227"/>
      <x:c r="R41" s="227"/>
      <x:c r="S41" s="227"/>
      <x:c r="T41" s="227"/>
      <x:c r="U41" s="227"/>
      <x:c r="V41" s="227"/>
      <x:c r="W41" s="227"/>
      <x:c r="X41" s="227"/>
      <x:c r="Y41" s="227"/>
      <x:c r="Z41" s="227"/>
    </x:row>
    <x:row r="42">
      <x:c r="A42" s="243" t="str">
        <x:v>Standard PVP</x:v>
      </x:c>
      <x:c r="B42" s="256" t="n">
        <x:v>8</x:v>
      </x:c>
      <x:c r="C42" s="245" t="str">
        <x:v>EUR/unit</x:v>
      </x:c>
      <x:c r="D42" s="245" t="str">
        <x:v>Both</x:v>
      </x:c>
      <x:c r="E42" s="246" t="str">
        <x:v>Confirmed</x:v>
      </x:c>
      <x:c r="F42" s="245" t="str">
        <x:v>Management pricing</x:v>
      </x:c>
      <x:c r="G42" s="227"/>
      <x:c r="H42" s="227"/>
      <x:c r="I42" s="227"/>
      <x:c r="J42" s="227"/>
      <x:c r="K42" s="227"/>
      <x:c r="L42" s="227"/>
      <x:c r="M42" s="227"/>
      <x:c r="N42" s="227"/>
      <x:c r="O42" s="227"/>
      <x:c r="P42" s="227"/>
      <x:c r="Q42" s="227"/>
      <x:c r="R42" s="227"/>
      <x:c r="S42" s="227"/>
      <x:c r="T42" s="227"/>
      <x:c r="U42" s="227"/>
      <x:c r="V42" s="227"/>
      <x:c r="W42" s="227"/>
      <x:c r="X42" s="227"/>
      <x:c r="Y42" s="227"/>
      <x:c r="Z42" s="227"/>
    </x:row>
    <x:row r="43">
      <x:c r="A43" s="243" t="str">
        <x:v>Premium numbered PVP</x:v>
      </x:c>
      <x:c r="B43" s="256" t="n">
        <x:v>20</x:v>
      </x:c>
      <x:c r="C43" s="245" t="str">
        <x:v>EUR/unit</x:v>
      </x:c>
      <x:c r="D43" s="245" t="str">
        <x:v>Both</x:v>
      </x:c>
      <x:c r="E43" s="246" t="str">
        <x:v>Confirmed</x:v>
      </x:c>
      <x:c r="F43" s="245" t="str">
        <x:v>Management pricing</x:v>
      </x:c>
      <x:c r="G43" s="227"/>
      <x:c r="H43" s="227"/>
      <x:c r="I43" s="227"/>
      <x:c r="J43" s="227"/>
      <x:c r="K43" s="227"/>
      <x:c r="L43" s="227"/>
      <x:c r="M43" s="227"/>
      <x:c r="N43" s="227"/>
      <x:c r="O43" s="227"/>
      <x:c r="P43" s="227"/>
      <x:c r="Q43" s="227"/>
      <x:c r="R43" s="227"/>
      <x:c r="S43" s="227"/>
      <x:c r="T43" s="227"/>
      <x:c r="U43" s="227"/>
      <x:c r="V43" s="227"/>
      <x:c r="W43" s="227"/>
      <x:c r="X43" s="227"/>
      <x:c r="Y43" s="227"/>
      <x:c r="Z43" s="227"/>
    </x:row>
    <x:row r="44">
      <x:c r="A44" s="243" t="str">
        <x:v>Swarovski PVP</x:v>
      </x:c>
      <x:c r="B44" s="256" t="n">
        <x:v>45</x:v>
      </x:c>
      <x:c r="C44" s="245" t="str">
        <x:v>EUR/unit</x:v>
      </x:c>
      <x:c r="D44" s="245" t="str">
        <x:v>Both</x:v>
      </x:c>
      <x:c r="E44" s="246" t="str">
        <x:v>Confirmed</x:v>
      </x:c>
      <x:c r="F44" s="245" t="str">
        <x:v>Management pricing</x:v>
      </x:c>
      <x:c r="G44" s="227"/>
      <x:c r="H44" s="227"/>
      <x:c r="I44" s="227"/>
      <x:c r="J44" s="227"/>
      <x:c r="K44" s="227"/>
      <x:c r="L44" s="227"/>
      <x:c r="M44" s="227"/>
      <x:c r="N44" s="227"/>
      <x:c r="O44" s="227"/>
      <x:c r="P44" s="227"/>
      <x:c r="Q44" s="227"/>
      <x:c r="R44" s="227"/>
      <x:c r="S44" s="227"/>
      <x:c r="T44" s="227"/>
      <x:c r="U44" s="227"/>
      <x:c r="V44" s="227"/>
      <x:c r="W44" s="227"/>
      <x:c r="X44" s="227"/>
      <x:c r="Y44" s="227"/>
      <x:c r="Z44" s="227"/>
    </x:row>
    <x:row r="45">
      <x:c r="A45" s="243" t="str">
        <x:v>Standard manufacturing cost</x:v>
      </x:c>
      <x:c r="B45" s="247" t="n">
        <x:v>1.7</x:v>
      </x:c>
      <x:c r="C45" s="245" t="str">
        <x:v>USD/unit</x:v>
      </x:c>
      <x:c r="D45" s="245" t="str">
        <x:v>Both</x:v>
      </x:c>
      <x:c r="E45" s="246" t="str">
        <x:v>Confirmed estimate</x:v>
      </x:c>
      <x:c r="F45" s="245" t="str">
        <x:v>Supplier estimate</x:v>
      </x:c>
      <x:c r="G45" s="227"/>
      <x:c r="H45" s="227"/>
      <x:c r="I45" s="227"/>
      <x:c r="J45" s="227"/>
      <x:c r="K45" s="227"/>
      <x:c r="L45" s="227"/>
      <x:c r="M45" s="227"/>
      <x:c r="N45" s="227"/>
      <x:c r="O45" s="227"/>
      <x:c r="P45" s="227"/>
      <x:c r="Q45" s="227"/>
      <x:c r="R45" s="227"/>
      <x:c r="S45" s="227"/>
      <x:c r="T45" s="227"/>
      <x:c r="U45" s="227"/>
      <x:c r="V45" s="227"/>
      <x:c r="W45" s="227"/>
      <x:c r="X45" s="227"/>
      <x:c r="Y45" s="227"/>
      <x:c r="Z45" s="227"/>
    </x:row>
    <x:row r="46">
      <x:c r="A46" s="243" t="str">
        <x:v>Premium manufacturing cost</x:v>
      </x:c>
      <x:c r="B46" s="247" t="n">
        <x:v>4.5</x:v>
      </x:c>
      <x:c r="C46" s="245" t="str">
        <x:v>USD/unit</x:v>
      </x:c>
      <x:c r="D46" s="245" t="str">
        <x:v>Both</x:v>
      </x:c>
      <x:c r="E46" s="246" t="str">
        <x:v>Confirmed estimate</x:v>
      </x:c>
      <x:c r="F46" s="245" t="str">
        <x:v>Supplier estimate</x:v>
      </x:c>
      <x:c r="G46" s="227"/>
      <x:c r="H46" s="227"/>
      <x:c r="I46" s="227"/>
      <x:c r="J46" s="227"/>
      <x:c r="K46" s="227"/>
      <x:c r="L46" s="227"/>
      <x:c r="M46" s="227"/>
      <x:c r="N46" s="227"/>
      <x:c r="O46" s="227"/>
      <x:c r="P46" s="227"/>
      <x:c r="Q46" s="227"/>
      <x:c r="R46" s="227"/>
      <x:c r="S46" s="227"/>
      <x:c r="T46" s="227"/>
      <x:c r="U46" s="227"/>
      <x:c r="V46" s="227"/>
      <x:c r="W46" s="227"/>
      <x:c r="X46" s="227"/>
      <x:c r="Y46" s="227"/>
      <x:c r="Z46" s="227"/>
    </x:row>
    <x:row r="47">
      <x:c r="A47" s="243" t="str">
        <x:v>Swarovski manufacturing cost</x:v>
      </x:c>
      <x:c r="B47" s="247" t="n">
        <x:v>9</x:v>
      </x:c>
      <x:c r="C47" s="245" t="str">
        <x:v>USD/unit</x:v>
      </x:c>
      <x:c r="D47" s="245" t="str">
        <x:v>Both</x:v>
      </x:c>
      <x:c r="E47" s="246" t="str">
        <x:v>Confirmed estimate</x:v>
      </x:c>
      <x:c r="F47" s="245" t="str">
        <x:v>Supplier estimate</x:v>
      </x:c>
      <x:c r="G47" s="227"/>
      <x:c r="H47" s="227"/>
      <x:c r="I47" s="227"/>
      <x:c r="J47" s="227"/>
      <x:c r="K47" s="227"/>
      <x:c r="L47" s="227"/>
      <x:c r="M47" s="227"/>
      <x:c r="N47" s="227"/>
      <x:c r="O47" s="227"/>
      <x:c r="P47" s="227"/>
      <x:c r="Q47" s="227"/>
      <x:c r="R47" s="227"/>
      <x:c r="S47" s="227"/>
      <x:c r="T47" s="227"/>
      <x:c r="U47" s="227"/>
      <x:c r="V47" s="227"/>
      <x:c r="W47" s="227"/>
      <x:c r="X47" s="227"/>
      <x:c r="Y47" s="227"/>
      <x:c r="Z47" s="227"/>
    </x:row>
    <x:row r="48">
      <x:c r="A48" s="243" t="str">
        <x:v>Weighted ASP</x:v>
      </x:c>
      <x:c r="B48" s="258" t="n">
        <x:f>B39*B42+B40*B43+B41*B44</x:f>
        <x:v>17.75</x:v>
      </x:c>
      <x:c r="C48" s="245" t="str">
        <x:v>EUR/unit</x:v>
      </x:c>
      <x:c r="D48" s="245" t="str">
        <x:v>Both</x:v>
      </x:c>
      <x:c r="E48" s="246" t="str">
        <x:v>Formula</x:v>
      </x:c>
      <x:c r="F48" s="245" t="str">
        <x:v>50% / 35% / 15%</x:v>
      </x:c>
      <x:c r="G48" s="227"/>
      <x:c r="H48" s="227"/>
      <x:c r="I48" s="227"/>
      <x:c r="J48" s="227"/>
      <x:c r="K48" s="227"/>
      <x:c r="L48" s="227"/>
      <x:c r="M48" s="227"/>
      <x:c r="N48" s="227"/>
      <x:c r="O48" s="227"/>
      <x:c r="P48" s="227"/>
      <x:c r="Q48" s="227"/>
      <x:c r="R48" s="227"/>
      <x:c r="S48" s="227"/>
      <x:c r="T48" s="227"/>
      <x:c r="U48" s="227"/>
      <x:c r="V48" s="227"/>
      <x:c r="W48" s="227"/>
      <x:c r="X48" s="227"/>
      <x:c r="Y48" s="227"/>
      <x:c r="Z48" s="227"/>
    </x:row>
    <x:row r="49">
      <x:c r="A49" s="243" t="str">
        <x:v>Weighted manufacturing cost</x:v>
      </x:c>
      <x:c r="B49" s="254" t="n">
        <x:f>B39*B45+B40*B46+B41*B47</x:f>
        <x:v>3.7749999999999995</x:v>
      </x:c>
      <x:c r="C49" s="245" t="str">
        <x:v>USD/unit</x:v>
      </x:c>
      <x:c r="D49" s="245" t="str">
        <x:v>Both</x:v>
      </x:c>
      <x:c r="E49" s="246" t="str">
        <x:v>Formula</x:v>
      </x:c>
      <x:c r="F49" s="245" t="str">
        <x:v>50% / 35% / 15%</x:v>
      </x:c>
      <x:c r="G49" s="227"/>
      <x:c r="H49" s="227"/>
      <x:c r="I49" s="227"/>
      <x:c r="J49" s="227"/>
      <x:c r="K49" s="227"/>
      <x:c r="L49" s="227"/>
      <x:c r="M49" s="227"/>
      <x:c r="N49" s="227"/>
      <x:c r="O49" s="227"/>
      <x:c r="P49" s="227"/>
      <x:c r="Q49" s="227"/>
      <x:c r="R49" s="227"/>
      <x:c r="S49" s="227"/>
      <x:c r="T49" s="227"/>
      <x:c r="U49" s="227"/>
      <x:c r="V49" s="227"/>
      <x:c r="W49" s="227"/>
      <x:c r="X49" s="227"/>
      <x:c r="Y49" s="227"/>
      <x:c r="Z49" s="227"/>
    </x:row>
    <x:row r="50">
      <x:c r="A50" s="243" t="str">
        <x:v>Weighted manufacturing cost</x:v>
      </x:c>
      <x:c r="B50" s="254" t="n">
        <x:f>B49*B7</x:f>
        <x:v>3.473</x:v>
      </x:c>
      <x:c r="C50" s="245" t="str">
        <x:v>EUR/unit</x:v>
      </x:c>
      <x:c r="D50" s="245" t="str">
        <x:v>Both</x:v>
      </x:c>
      <x:c r="E50" s="246" t="str">
        <x:v>Formula</x:v>
      </x:c>
      <x:c r="F50" s="245" t="str">
        <x:v>Converted using FX</x:v>
      </x:c>
      <x:c r="G50" s="227"/>
      <x:c r="H50" s="227"/>
      <x:c r="I50" s="227"/>
      <x:c r="J50" s="227"/>
      <x:c r="K50" s="227"/>
      <x:c r="L50" s="227"/>
      <x:c r="M50" s="227"/>
      <x:c r="N50" s="227"/>
      <x:c r="O50" s="227"/>
      <x:c r="P50" s="227"/>
      <x:c r="Q50" s="227"/>
      <x:c r="R50" s="227"/>
      <x:c r="S50" s="227"/>
      <x:c r="T50" s="227"/>
      <x:c r="U50" s="227"/>
      <x:c r="V50" s="227"/>
      <x:c r="W50" s="227"/>
      <x:c r="X50" s="227"/>
      <x:c r="Y50" s="227"/>
      <x:c r="Z50" s="227"/>
    </x:row>
    <x:row r="51">
      <x:c r="A51" s="243" t="str">
        <x:v>Pilot opening inventory</x:v>
      </x:c>
      <x:c r="B51" s="247" t="n">
        <x:v>1000</x:v>
      </x:c>
      <x:c r="C51" s="245" t="str">
        <x:v>magnets</x:v>
      </x:c>
      <x:c r="D51" s="245" t="str">
        <x:v>Both</x:v>
      </x:c>
      <x:c r="E51" s="246" t="str">
        <x:v>Shareholder-funded</x:v>
      </x:c>
      <x:c r="F51" s="245" t="str">
        <x:v>No cash outflow in forecast</x:v>
      </x:c>
      <x:c r="G51" s="227"/>
      <x:c r="H51" s="227"/>
      <x:c r="I51" s="227"/>
      <x:c r="J51" s="227"/>
      <x:c r="K51" s="227"/>
      <x:c r="L51" s="227"/>
      <x:c r="M51" s="227"/>
      <x:c r="N51" s="227"/>
      <x:c r="O51" s="227"/>
      <x:c r="P51" s="227"/>
      <x:c r="Q51" s="227"/>
      <x:c r="R51" s="227"/>
      <x:c r="S51" s="227"/>
      <x:c r="T51" s="227"/>
      <x:c r="U51" s="227"/>
      <x:c r="V51" s="227"/>
      <x:c r="W51" s="227"/>
      <x:c r="X51" s="227"/>
      <x:c r="Y51" s="227"/>
      <x:c r="Z51" s="227"/>
    </x:row>
    <x:row r="52">
      <x:c r="A52" s="243" t="str">
        <x:v>Initial commercial inventory</x:v>
      </x:c>
      <x:c r="B52" s="247" t="n">
        <x:v>30000</x:v>
      </x:c>
      <x:c r="C52" s="245" t="str">
        <x:v>magnets</x:v>
      </x:c>
      <x:c r="D52" s="245" t="str">
        <x:v>Both</x:v>
      </x:c>
      <x:c r="E52" s="246" t="str">
        <x:v>Confirmed</x:v>
      </x:c>
      <x:c r="F52" s="245" t="str">
        <x:v>Additional to pilot inventory</x:v>
      </x:c>
      <x:c r="G52" s="227"/>
      <x:c r="H52" s="227"/>
      <x:c r="I52" s="227"/>
      <x:c r="J52" s="227"/>
      <x:c r="K52" s="227"/>
      <x:c r="L52" s="227"/>
      <x:c r="M52" s="227"/>
      <x:c r="N52" s="227"/>
      <x:c r="O52" s="227"/>
      <x:c r="P52" s="227"/>
      <x:c r="Q52" s="227"/>
      <x:c r="R52" s="227"/>
      <x:c r="S52" s="227"/>
      <x:c r="T52" s="227"/>
      <x:c r="U52" s="227"/>
      <x:c r="V52" s="227"/>
      <x:c r="W52" s="227"/>
      <x:c r="X52" s="227"/>
      <x:c r="Y52" s="227"/>
      <x:c r="Z52" s="227"/>
    </x:row>
    <x:row r="53">
      <x:c r="A53" s="243" t="str">
        <x:v>Initial fill planning ratio</x:v>
      </x:c>
      <x:c r="B53" s="247" t="n">
        <x:v>1000</x:v>
      </x:c>
      <x:c r="C53" s="245" t="str">
        <x:v>magnets/machine</x:v>
      </x:c>
      <x:c r="D53" s="245" t="str">
        <x:v>Both</x:v>
      </x:c>
      <x:c r="E53" s="246" t="str">
        <x:v>Management assumption</x:v>
      </x:c>
      <x:c r="F53" s="245" t="str">
        <x:v>Approx. 2.3 months at base sales rate</x:v>
      </x:c>
      <x:c r="G53" s="227"/>
      <x:c r="H53" s="227"/>
      <x:c r="I53" s="227"/>
      <x:c r="J53" s="227"/>
      <x:c r="K53" s="227"/>
      <x:c r="L53" s="227"/>
      <x:c r="M53" s="227"/>
      <x:c r="N53" s="227"/>
      <x:c r="O53" s="227"/>
      <x:c r="P53" s="227"/>
      <x:c r="Q53" s="227"/>
      <x:c r="R53" s="227"/>
      <x:c r="S53" s="227"/>
      <x:c r="T53" s="227"/>
      <x:c r="U53" s="227"/>
      <x:c r="V53" s="227"/>
      <x:c r="W53" s="227"/>
      <x:c r="X53" s="227"/>
      <x:c r="Y53" s="227"/>
      <x:c r="Z53" s="227"/>
    </x:row>
    <x:row r="54">
      <x:c r="A54" s="243" t="str">
        <x:v>Commercial venue revenue share</x:v>
      </x:c>
      <x:c r="B54" s="252" t="n">
        <x:v>0.15</x:v>
      </x:c>
      <x:c r="C54" s="245" t="str">
        <x:v>% vending sales</x:v>
      </x:c>
      <x:c r="D54" s="245" t="str">
        <x:v>Both</x:v>
      </x:c>
      <x:c r="E54" s="246" t="str">
        <x:v>Confirmed</x:v>
      </x:c>
      <x:c r="F54" s="245" t="str">
        <x:v>Does not apply to the two pilot machines</x:v>
      </x:c>
      <x:c r="G54" s="227"/>
      <x:c r="H54" s="227"/>
      <x:c r="I54" s="227"/>
      <x:c r="J54" s="227"/>
      <x:c r="K54" s="227"/>
      <x:c r="L54" s="227"/>
      <x:c r="M54" s="227"/>
      <x:c r="N54" s="227"/>
      <x:c r="O54" s="227"/>
      <x:c r="P54" s="227"/>
      <x:c r="Q54" s="227"/>
      <x:c r="R54" s="227"/>
      <x:c r="S54" s="227"/>
      <x:c r="T54" s="227"/>
      <x:c r="U54" s="227"/>
      <x:c r="V54" s="227"/>
      <x:c r="W54" s="227"/>
      <x:c r="X54" s="227"/>
      <x:c r="Y54" s="227"/>
      <x:c r="Z54" s="227"/>
    </x:row>
    <x:row r="55">
      <x:c r="A55" s="243" t="str">
        <x:v>Pilot venue revenue share</x:v>
      </x:c>
      <x:c r="B55" s="252" t="n">
        <x:v>0</x:v>
      </x:c>
      <x:c r="C55" s="245" t="str">
        <x:v>% vending sales</x:v>
      </x:c>
      <x:c r="D55" s="245" t="str">
        <x:v>Both</x:v>
      </x:c>
      <x:c r="E55" s="246" t="str">
        <x:v>Confirmed</x:v>
      </x:c>
      <x:c r="F55" s="245" t="str">
        <x:v>100% pilot vending revenue retained by MAGNÆRA</x:v>
      </x:c>
      <x:c r="G55" s="227"/>
      <x:c r="H55" s="227"/>
      <x:c r="I55" s="227"/>
      <x:c r="J55" s="227"/>
      <x:c r="K55" s="227"/>
      <x:c r="L55" s="227"/>
      <x:c r="M55" s="227"/>
      <x:c r="N55" s="227"/>
      <x:c r="O55" s="227"/>
      <x:c r="P55" s="227"/>
      <x:c r="Q55" s="227"/>
      <x:c r="R55" s="227"/>
      <x:c r="S55" s="227"/>
      <x:c r="T55" s="227"/>
      <x:c r="U55" s="227"/>
      <x:c r="V55" s="227"/>
      <x:c r="W55" s="227"/>
      <x:c r="X55" s="227"/>
      <x:c r="Y55" s="227"/>
      <x:c r="Z55" s="227"/>
    </x:row>
    <x:row r="56">
      <x:c r="A56" s="243" t="str">
        <x:v>Outsourced logistics / warehouse</x:v>
      </x:c>
      <x:c r="B56" s="252" t="n">
        <x:v>0.07</x:v>
      </x:c>
      <x:c r="C56" s="245" t="str">
        <x:v>% vending sales</x:v>
      </x:c>
      <x:c r="D56" s="245" t="str">
        <x:v>Both</x:v>
      </x:c>
      <x:c r="E56" s="246" t="str">
        <x:v>Confirmed working case</x:v>
      </x:c>
      <x:c r="F56" s="245" t="str">
        <x:v>Paid at 60 days</x:v>
      </x:c>
      <x:c r="G56" s="227"/>
      <x:c r="H56" s="227"/>
      <x:c r="I56" s="227"/>
      <x:c r="J56" s="227"/>
      <x:c r="K56" s="227"/>
      <x:c r="L56" s="227"/>
      <x:c r="M56" s="227"/>
      <x:c r="N56" s="227"/>
      <x:c r="O56" s="227"/>
      <x:c r="P56" s="227"/>
      <x:c r="Q56" s="227"/>
      <x:c r="R56" s="227"/>
      <x:c r="S56" s="227"/>
      <x:c r="T56" s="227"/>
      <x:c r="U56" s="227"/>
      <x:c r="V56" s="227"/>
      <x:c r="W56" s="227"/>
      <x:c r="X56" s="227"/>
      <x:c r="Y56" s="227"/>
      <x:c r="Z56" s="227"/>
    </x:row>
    <x:row r="57">
      <x:c r="A57" s="243" t="str">
        <x:v>Payment processing</x:v>
      </x:c>
      <x:c r="B57" s="247" t="n">
        <x:v>0.018</x:v>
      </x:c>
      <x:c r="C57" s="245" t="str">
        <x:v>% gross collections</x:v>
      </x:c>
      <x:c r="D57" s="245" t="str">
        <x:v>Both</x:v>
      </x:c>
      <x:c r="E57" s="246" t="str">
        <x:v>Working assumption</x:v>
      </x:c>
      <x:c r="F57" s="245" t="str">
        <x:v>Editable</x:v>
      </x:c>
      <x:c r="G57" s="227"/>
      <x:c r="H57" s="227"/>
      <x:c r="I57" s="227"/>
      <x:c r="J57" s="227"/>
      <x:c r="K57" s="227"/>
      <x:c r="L57" s="227"/>
      <x:c r="M57" s="227"/>
      <x:c r="N57" s="227"/>
      <x:c r="O57" s="227"/>
      <x:c r="P57" s="227"/>
      <x:c r="Q57" s="227"/>
      <x:c r="R57" s="227"/>
      <x:c r="S57" s="227"/>
      <x:c r="T57" s="227"/>
      <x:c r="U57" s="227"/>
      <x:c r="V57" s="227"/>
      <x:c r="W57" s="227"/>
      <x:c r="X57" s="227"/>
      <x:c r="Y57" s="227"/>
      <x:c r="Z57" s="227"/>
    </x:row>
    <x:row r="58">
      <x:c r="A58" s="243" t="str">
        <x:v>Handling / replenishment</x:v>
      </x:c>
      <x:c r="B58" s="255" t="n">
        <x:v>0.25</x:v>
      </x:c>
      <x:c r="C58" s="245" t="str">
        <x:v>EUR/unit</x:v>
      </x:c>
      <x:c r="D58" s="245" t="str">
        <x:v>Both</x:v>
      </x:c>
      <x:c r="E58" s="246" t="str">
        <x:v>Confirmed working case</x:v>
      </x:c>
      <x:c r="F58" s="245" t="str">
        <x:v>Per vending magnet</x:v>
      </x:c>
      <x:c r="G58" s="227"/>
      <x:c r="H58" s="227"/>
      <x:c r="I58" s="227"/>
      <x:c r="J58" s="227"/>
      <x:c r="K58" s="227"/>
      <x:c r="L58" s="227"/>
      <x:c r="M58" s="227"/>
      <x:c r="N58" s="227"/>
      <x:c r="O58" s="227"/>
      <x:c r="P58" s="227"/>
      <x:c r="Q58" s="227"/>
      <x:c r="R58" s="227"/>
      <x:c r="S58" s="227"/>
      <x:c r="T58" s="227"/>
      <x:c r="U58" s="227"/>
      <x:c r="V58" s="227"/>
      <x:c r="W58" s="227"/>
      <x:c r="X58" s="227"/>
      <x:c r="Y58" s="227"/>
      <x:c r="Z58" s="227"/>
    </x:row>
    <x:row r="59">
      <x:c r="A59" s="243" t="str">
        <x:v>Hotel sales rate</x:v>
      </x:c>
      <x:c r="B59" s="247" t="n">
        <x:v>13</x:v>
      </x:c>
      <x:c r="C59" s="245" t="str">
        <x:v>units/day/machine</x:v>
      </x:c>
      <x:c r="D59" s="245" t="str">
        <x:v>Both</x:v>
      </x:c>
      <x:c r="E59" s="246" t="str">
        <x:v>Confirmed management case</x:v>
      </x:c>
      <x:c r="F59" s="245" t="str">
        <x:v>Gran Oasis / hotel benchmark</x:v>
      </x:c>
      <x:c r="G59" s="227"/>
      <x:c r="H59" s="227"/>
      <x:c r="I59" s="227"/>
      <x:c r="J59" s="227"/>
      <x:c r="K59" s="227"/>
      <x:c r="L59" s="227"/>
      <x:c r="M59" s="227"/>
      <x:c r="N59" s="227"/>
      <x:c r="O59" s="227"/>
      <x:c r="P59" s="227"/>
      <x:c r="Q59" s="227"/>
      <x:c r="R59" s="227"/>
      <x:c r="S59" s="227"/>
      <x:c r="T59" s="227"/>
      <x:c r="U59" s="227"/>
      <x:c r="V59" s="227"/>
      <x:c r="W59" s="227"/>
      <x:c r="X59" s="227"/>
      <x:c r="Y59" s="227"/>
      <x:c r="Z59" s="227"/>
    </x:row>
    <x:row r="60">
      <x:c r="A60" s="243" t="str">
        <x:v>Cultural / sports venue sales rate</x:v>
      </x:c>
      <x:c r="B60" s="247" t="n">
        <x:v>15</x:v>
      </x:c>
      <x:c r="C60" s="245" t="str">
        <x:v>units/day/machine</x:v>
      </x:c>
      <x:c r="D60" s="245" t="str">
        <x:v>Both</x:v>
      </x:c>
      <x:c r="E60" s="246" t="str">
        <x:v>Confirmed management case</x:v>
      </x:c>
      <x:c r="F60" s="245" t="str">
        <x:v>Museums, clubs, cultural sites</x:v>
      </x:c>
      <x:c r="G60" s="227"/>
      <x:c r="H60" s="227"/>
      <x:c r="I60" s="227"/>
      <x:c r="J60" s="227"/>
      <x:c r="K60" s="227"/>
      <x:c r="L60" s="227"/>
      <x:c r="M60" s="227"/>
      <x:c r="N60" s="227"/>
      <x:c r="O60" s="227"/>
      <x:c r="P60" s="227"/>
      <x:c r="Q60" s="227"/>
      <x:c r="R60" s="227"/>
      <x:c r="S60" s="227"/>
      <x:c r="T60" s="227"/>
      <x:c r="U60" s="227"/>
      <x:c r="V60" s="227"/>
      <x:c r="W60" s="227"/>
      <x:c r="X60" s="227"/>
      <x:c r="Y60" s="227"/>
      <x:c r="Z60" s="227"/>
    </x:row>
    <x:row r="61">
      <x:c r="A61" s="243" t="str">
        <x:v>Airport sales rate</x:v>
      </x:c>
      <x:c r="B61" s="247" t="n">
        <x:v>17</x:v>
      </x:c>
      <x:c r="C61" s="245" t="str">
        <x:v>units/day/machine</x:v>
      </x:c>
      <x:c r="D61" s="245" t="str">
        <x:v>Both</x:v>
      </x:c>
      <x:c r="E61" s="246" t="str">
        <x:v>Confirmed management case</x:v>
      </x:c>
      <x:c r="F61" s="245" t="str">
        <x:v>Airport target</x:v>
      </x:c>
      <x:c r="G61" s="227"/>
      <x:c r="H61" s="227"/>
      <x:c r="I61" s="227"/>
      <x:c r="J61" s="227"/>
      <x:c r="K61" s="227"/>
      <x:c r="L61" s="227"/>
      <x:c r="M61" s="227"/>
      <x:c r="N61" s="227"/>
      <x:c r="O61" s="227"/>
      <x:c r="P61" s="227"/>
      <x:c r="Q61" s="227"/>
      <x:c r="R61" s="227"/>
      <x:c r="S61" s="227"/>
      <x:c r="T61" s="227"/>
      <x:c r="U61" s="227"/>
      <x:c r="V61" s="227"/>
      <x:c r="W61" s="227"/>
      <x:c r="X61" s="227"/>
      <x:c r="Y61" s="227"/>
      <x:c r="Z61" s="227"/>
    </x:row>
    <x:row r="62">
      <x:c r="A62" s="248" t="str">
        <x:v>Blended future sales rate</x:v>
      </x:c>
      <x:c r="B62" s="249" t="n">
        <x:v>14.5</x:v>
      </x:c>
      <x:c r="C62" s="250" t="str">
        <x:v>units/day/machine</x:v>
      </x:c>
      <x:c r="D62" s="250" t="str">
        <x:v>Both</x:v>
      </x:c>
      <x:c r="E62" s="251" t="str">
        <x:v>Management base case</x:v>
      </x:c>
      <x:c r="F62" s="250" t="str">
        <x:v>Editable weighted network rate</x:v>
      </x:c>
      <x:c r="G62" s="227"/>
      <x:c r="H62" s="227"/>
      <x:c r="I62" s="227"/>
      <x:c r="J62" s="227"/>
      <x:c r="K62" s="227"/>
      <x:c r="L62" s="227"/>
      <x:c r="M62" s="227"/>
      <x:c r="N62" s="227"/>
      <x:c r="O62" s="227"/>
      <x:c r="P62" s="227"/>
      <x:c r="Q62" s="227"/>
      <x:c r="R62" s="227"/>
      <x:c r="S62" s="227"/>
      <x:c r="T62" s="227"/>
      <x:c r="U62" s="227"/>
      <x:c r="V62" s="227"/>
      <x:c r="W62" s="227"/>
      <x:c r="X62" s="227"/>
      <x:c r="Y62" s="227"/>
      <x:c r="Z62" s="227"/>
    </x:row>
    <x:row r="63">
      <x:c r="A63" s="243" t="str">
        <x:v>Pilot average sales rate</x:v>
      </x:c>
      <x:c r="B63" s="247" t="n">
        <x:v>14</x:v>
      </x:c>
      <x:c r="C63" s="245" t="str">
        <x:v>units/day/machine</x:v>
      </x:c>
      <x:c r="D63" s="245" t="str">
        <x:v>Both</x:v>
      </x:c>
      <x:c r="E63" s="246" t="str">
        <x:v>Formula base</x:v>
      </x:c>
      <x:c r="F63" s="245" t="str">
        <x:v>13 hotel + 15 cultural / 2</x:v>
      </x:c>
      <x:c r="G63" s="227"/>
      <x:c r="H63" s="227"/>
      <x:c r="I63" s="227"/>
      <x:c r="J63" s="227"/>
      <x:c r="K63" s="227"/>
      <x:c r="L63" s="227"/>
      <x:c r="M63" s="227"/>
      <x:c r="N63" s="227"/>
      <x:c r="O63" s="227"/>
      <x:c r="P63" s="227"/>
      <x:c r="Q63" s="227"/>
      <x:c r="R63" s="227"/>
      <x:c r="S63" s="227"/>
      <x:c r="T63" s="227"/>
      <x:c r="U63" s="227"/>
      <x:c r="V63" s="227"/>
      <x:c r="W63" s="227"/>
      <x:c r="X63" s="227"/>
      <x:c r="Y63" s="227"/>
      <x:c r="Z63" s="227"/>
    </x:row>
    <x:row r="64">
      <x:c r="A64" s="239" t="str">
        <x:v>LEAN FIXED OPEX</x:v>
      </x:c>
      <x:c r="B64" s="240"/>
      <x:c r="C64" s="241"/>
      <x:c r="D64" s="241"/>
      <x:c r="E64" s="242"/>
      <x:c r="F64" s="241"/>
      <x:c r="G64" s="227"/>
      <x:c r="H64" s="227"/>
      <x:c r="I64" s="227"/>
      <x:c r="J64" s="227"/>
      <x:c r="K64" s="227"/>
      <x:c r="L64" s="227"/>
      <x:c r="M64" s="227"/>
      <x:c r="N64" s="227"/>
      <x:c r="O64" s="227"/>
      <x:c r="P64" s="227"/>
      <x:c r="Q64" s="227"/>
      <x:c r="R64" s="227"/>
      <x:c r="S64" s="227"/>
      <x:c r="T64" s="227"/>
      <x:c r="U64" s="227"/>
      <x:c r="V64" s="227"/>
      <x:c r="W64" s="227"/>
      <x:c r="X64" s="227"/>
      <x:c r="Y64" s="227"/>
      <x:c r="Z64" s="227"/>
    </x:row>
    <x:row r="65">
      <x:c r="A65" s="243" t="str">
        <x:v>COO</x:v>
      </x:c>
      <x:c r="B65" s="255" t="n">
        <x:v>6000</x:v>
      </x:c>
      <x:c r="C65" s="245" t="str">
        <x:v>EUR/month</x:v>
      </x:c>
      <x:c r="D65" s="245" t="str">
        <x:v>Both</x:v>
      </x:c>
      <x:c r="E65" s="246" t="str">
        <x:v>Confirmed</x:v>
      </x:c>
      <x:c r="F65" s="245" t="str">
        <x:v>Lean operating phase</x:v>
      </x:c>
      <x:c r="G65" s="227"/>
      <x:c r="H65" s="227"/>
      <x:c r="I65" s="227"/>
      <x:c r="J65" s="227"/>
      <x:c r="K65" s="227"/>
      <x:c r="L65" s="227"/>
      <x:c r="M65" s="227"/>
      <x:c r="N65" s="227"/>
      <x:c r="O65" s="227"/>
      <x:c r="P65" s="227"/>
      <x:c r="Q65" s="227"/>
      <x:c r="R65" s="227"/>
      <x:c r="S65" s="227"/>
      <x:c r="T65" s="227"/>
      <x:c r="U65" s="227"/>
      <x:c r="V65" s="227"/>
      <x:c r="W65" s="227"/>
      <x:c r="X65" s="227"/>
      <x:c r="Y65" s="227"/>
      <x:c r="Z65" s="227"/>
    </x:row>
    <x:row r="66">
      <x:c r="A66" s="243" t="str">
        <x:v>NEXUS / software development</x:v>
      </x:c>
      <x:c r="B66" s="255" t="n">
        <x:v>1000</x:v>
      </x:c>
      <x:c r="C66" s="245" t="str">
        <x:v>EUR/month</x:v>
      </x:c>
      <x:c r="D66" s="245" t="str">
        <x:v>Both</x:v>
      </x:c>
      <x:c r="E66" s="246" t="str">
        <x:v>Confirmed</x:v>
      </x:c>
      <x:c r="F66" s="245" t="str">
        <x:v>Maintenance and incremental development</x:v>
      </x:c>
      <x:c r="G66" s="227"/>
      <x:c r="H66" s="227"/>
      <x:c r="I66" s="227"/>
      <x:c r="J66" s="227"/>
      <x:c r="K66" s="227"/>
      <x:c r="L66" s="227"/>
      <x:c r="M66" s="227"/>
      <x:c r="N66" s="227"/>
      <x:c r="O66" s="227"/>
      <x:c r="P66" s="227"/>
      <x:c r="Q66" s="227"/>
      <x:c r="R66" s="227"/>
      <x:c r="S66" s="227"/>
      <x:c r="T66" s="227"/>
      <x:c r="U66" s="227"/>
      <x:c r="V66" s="227"/>
      <x:c r="W66" s="227"/>
      <x:c r="X66" s="227"/>
      <x:c r="Y66" s="227"/>
      <x:c r="Z66" s="227"/>
    </x:row>
    <x:row r="67">
      <x:c r="A67" s="243" t="str">
        <x:v>Designers / collections / packs</x:v>
      </x:c>
      <x:c r="B67" s="255" t="n">
        <x:v>3000</x:v>
      </x:c>
      <x:c r="C67" s="245" t="str">
        <x:v>EUR/month</x:v>
      </x:c>
      <x:c r="D67" s="245" t="str">
        <x:v>Both</x:v>
      </x:c>
      <x:c r="E67" s="246" t="str">
        <x:v>Confirmed</x:v>
      </x:c>
      <x:c r="F67" s="245" t="str">
        <x:v>Design and pack adaptation</x:v>
      </x:c>
      <x:c r="G67" s="227"/>
      <x:c r="H67" s="227"/>
      <x:c r="I67" s="227"/>
      <x:c r="J67" s="227"/>
      <x:c r="K67" s="227"/>
      <x:c r="L67" s="227"/>
      <x:c r="M67" s="227"/>
      <x:c r="N67" s="227"/>
      <x:c r="O67" s="227"/>
      <x:c r="P67" s="227"/>
      <x:c r="Q67" s="227"/>
      <x:c r="R67" s="227"/>
      <x:c r="S67" s="227"/>
      <x:c r="T67" s="227"/>
      <x:c r="U67" s="227"/>
      <x:c r="V67" s="227"/>
      <x:c r="W67" s="227"/>
      <x:c r="X67" s="227"/>
      <x:c r="Y67" s="227"/>
      <x:c r="Z67" s="227"/>
    </x:row>
    <x:row r="68">
      <x:c r="A68" s="243" t="str">
        <x:v>Commercial / licences / partners</x:v>
      </x:c>
      <x:c r="B68" s="255" t="n">
        <x:v>1000</x:v>
      </x:c>
      <x:c r="C68" s="245" t="str">
        <x:v>EUR/month</x:v>
      </x:c>
      <x:c r="D68" s="245" t="str">
        <x:v>Both</x:v>
      </x:c>
      <x:c r="E68" s="246" t="str">
        <x:v>Confirmed</x:v>
      </x:c>
      <x:c r="F68" s="245" t="str">
        <x:v>Lean commercial support</x:v>
      </x:c>
      <x:c r="G68" s="227"/>
      <x:c r="H68" s="227"/>
      <x:c r="I68" s="227"/>
      <x:c r="J68" s="227"/>
      <x:c r="K68" s="227"/>
      <x:c r="L68" s="227"/>
      <x:c r="M68" s="227"/>
      <x:c r="N68" s="227"/>
      <x:c r="O68" s="227"/>
      <x:c r="P68" s="227"/>
      <x:c r="Q68" s="227"/>
      <x:c r="R68" s="227"/>
      <x:c r="S68" s="227"/>
      <x:c r="T68" s="227"/>
      <x:c r="U68" s="227"/>
      <x:c r="V68" s="227"/>
      <x:c r="W68" s="227"/>
      <x:c r="X68" s="227"/>
      <x:c r="Y68" s="227"/>
      <x:c r="Z68" s="227"/>
    </x:row>
    <x:row r="69">
      <x:c r="A69" s="243" t="str">
        <x:v>Rent / administration</x:v>
      </x:c>
      <x:c r="B69" s="255" t="n">
        <x:v>2700</x:v>
      </x:c>
      <x:c r="C69" s="245" t="str">
        <x:v>EUR/month</x:v>
      </x:c>
      <x:c r="D69" s="245" t="str">
        <x:v>Both</x:v>
      </x:c>
      <x:c r="E69" s="246" t="str">
        <x:v>Confirmed</x:v>
      </x:c>
      <x:c r="F69" s="245" t="str">
        <x:v>Rent / administration line</x:v>
      </x:c>
      <x:c r="G69" s="227"/>
      <x:c r="H69" s="227"/>
      <x:c r="I69" s="227"/>
      <x:c r="J69" s="227"/>
      <x:c r="K69" s="227"/>
      <x:c r="L69" s="227"/>
      <x:c r="M69" s="227"/>
      <x:c r="N69" s="227"/>
      <x:c r="O69" s="227"/>
      <x:c r="P69" s="227"/>
      <x:c r="Q69" s="227"/>
      <x:c r="R69" s="227"/>
      <x:c r="S69" s="227"/>
      <x:c r="T69" s="227"/>
      <x:c r="U69" s="227"/>
      <x:c r="V69" s="227"/>
      <x:c r="W69" s="227"/>
      <x:c r="X69" s="227"/>
      <x:c r="Y69" s="227"/>
      <x:c r="Z69" s="227"/>
    </x:row>
    <x:row r="70">
      <x:c r="A70" s="243" t="str">
        <x:v>Legal / intellectual property</x:v>
      </x:c>
      <x:c r="B70" s="255" t="n">
        <x:v>2000</x:v>
      </x:c>
      <x:c r="C70" s="245" t="str">
        <x:v>EUR/month</x:v>
      </x:c>
      <x:c r="D70" s="245" t="str">
        <x:v>Both</x:v>
      </x:c>
      <x:c r="E70" s="246" t="str">
        <x:v>Confirmed</x:v>
      </x:c>
      <x:c r="F70" s="245" t="str">
        <x:v>Legal and IP support</x:v>
      </x:c>
      <x:c r="G70" s="227"/>
      <x:c r="H70" s="227"/>
      <x:c r="I70" s="227"/>
      <x:c r="J70" s="227"/>
      <x:c r="K70" s="227"/>
      <x:c r="L70" s="227"/>
      <x:c r="M70" s="227"/>
      <x:c r="N70" s="227"/>
      <x:c r="O70" s="227"/>
      <x:c r="P70" s="227"/>
      <x:c r="Q70" s="227"/>
      <x:c r="R70" s="227"/>
      <x:c r="S70" s="227"/>
      <x:c r="T70" s="227"/>
      <x:c r="U70" s="227"/>
      <x:c r="V70" s="227"/>
      <x:c r="W70" s="227"/>
      <x:c r="X70" s="227"/>
      <x:c r="Y70" s="227"/>
      <x:c r="Z70" s="227"/>
    </x:row>
    <x:row r="71">
      <x:c r="A71" s="243" t="str">
        <x:v>Lean fixed OPEX total</x:v>
      </x:c>
      <x:c r="B71" s="258" t="n">
        <x:f>SUM(B65:B70)</x:f>
        <x:v>15700</x:v>
      </x:c>
      <x:c r="C71" s="245" t="str">
        <x:v>EUR/month</x:v>
      </x:c>
      <x:c r="D71" s="245" t="str">
        <x:v>Both</x:v>
      </x:c>
      <x:c r="E71" s="246" t="str">
        <x:v>Formula</x:v>
      </x:c>
      <x:c r="F71" s="245" t="str">
        <x:v>Sum of confirmed lean lines</x:v>
      </x:c>
      <x:c r="G71" s="227"/>
      <x:c r="H71" s="227"/>
      <x:c r="I71" s="227"/>
      <x:c r="J71" s="227"/>
      <x:c r="K71" s="227"/>
      <x:c r="L71" s="227"/>
      <x:c r="M71" s="227"/>
      <x:c r="N71" s="227"/>
      <x:c r="O71" s="227"/>
      <x:c r="P71" s="227"/>
      <x:c r="Q71" s="227"/>
      <x:c r="R71" s="227"/>
      <x:c r="S71" s="227"/>
      <x:c r="T71" s="227"/>
      <x:c r="U71" s="227"/>
      <x:c r="V71" s="227"/>
      <x:c r="W71" s="227"/>
      <x:c r="X71" s="227"/>
      <x:c r="Y71" s="227"/>
      <x:c r="Z71" s="227"/>
    </x:row>
    <x:row r="72">
      <x:c r="A72" s="239" t="str">
        <x:v>FOOTBALL-CLUB MEMBER CAMPAIGN</x:v>
      </x:c>
      <x:c r="B72" s="240"/>
      <x:c r="C72" s="241"/>
      <x:c r="D72" s="241"/>
      <x:c r="E72" s="242"/>
      <x:c r="F72" s="241"/>
      <x:c r="G72" s="227"/>
      <x:c r="H72" s="227"/>
      <x:c r="I72" s="227"/>
      <x:c r="J72" s="227"/>
      <x:c r="K72" s="227"/>
      <x:c r="L72" s="227"/>
      <x:c r="M72" s="227"/>
      <x:c r="N72" s="227"/>
      <x:c r="O72" s="227"/>
      <x:c r="P72" s="227"/>
      <x:c r="Q72" s="227"/>
      <x:c r="R72" s="227"/>
      <x:c r="S72" s="227"/>
      <x:c r="T72" s="227"/>
      <x:c r="U72" s="227"/>
      <x:c r="V72" s="227"/>
      <x:c r="W72" s="227"/>
      <x:c r="X72" s="227"/>
      <x:c r="Y72" s="227"/>
      <x:c r="Z72" s="227"/>
    </x:row>
    <x:row r="73">
      <x:c r="A73" s="248" t="str">
        <x:v>First club order month</x:v>
      </x:c>
      <x:c r="B73" s="259" t="n">
        <x:v>46357</x:v>
      </x:c>
      <x:c r="C73" s="250" t="str">
        <x:v>date</x:v>
      </x:c>
      <x:c r="D73" s="250" t="str">
        <x:v>Both</x:v>
      </x:c>
      <x:c r="E73" s="251" t="str">
        <x:v>Working assumption</x:v>
      </x:c>
      <x:c r="F73" s="250" t="str">
        <x:v>Month 3 after pilot launch; editable</x:v>
      </x:c>
      <x:c r="G73" s="227"/>
      <x:c r="H73" s="227"/>
      <x:c r="I73" s="227"/>
      <x:c r="J73" s="227"/>
      <x:c r="K73" s="227"/>
      <x:c r="L73" s="227"/>
      <x:c r="M73" s="227"/>
      <x:c r="N73" s="227"/>
      <x:c r="O73" s="227"/>
      <x:c r="P73" s="227"/>
      <x:c r="Q73" s="227"/>
      <x:c r="R73" s="227"/>
      <x:c r="S73" s="227"/>
      <x:c r="T73" s="227"/>
      <x:c r="U73" s="227"/>
      <x:c r="V73" s="227"/>
      <x:c r="W73" s="227"/>
      <x:c r="X73" s="227"/>
      <x:c r="Y73" s="227"/>
      <x:c r="Z73" s="227"/>
    </x:row>
    <x:row r="74">
      <x:c r="A74" s="243" t="str">
        <x:v>Campaign frequency</x:v>
      </x:c>
      <x:c r="B74" s="247" t="n">
        <x:v>3</x:v>
      </x:c>
      <x:c r="C74" s="245" t="str">
        <x:v>months</x:v>
      </x:c>
      <x:c r="D74" s="245" t="str">
        <x:v>Both</x:v>
      </x:c>
      <x:c r="E74" s="246" t="str">
        <x:v>Confirmed</x:v>
      </x:c>
      <x:c r="F74" s="245" t="str">
        <x:v>One campaign every three months</x:v>
      </x:c>
      <x:c r="G74" s="227"/>
      <x:c r="H74" s="227"/>
      <x:c r="I74" s="227"/>
      <x:c r="J74" s="227"/>
      <x:c r="K74" s="227"/>
      <x:c r="L74" s="227"/>
      <x:c r="M74" s="227"/>
      <x:c r="N74" s="227"/>
      <x:c r="O74" s="227"/>
      <x:c r="P74" s="227"/>
      <x:c r="Q74" s="227"/>
      <x:c r="R74" s="227"/>
      <x:c r="S74" s="227"/>
      <x:c r="T74" s="227"/>
      <x:c r="U74" s="227"/>
      <x:c r="V74" s="227"/>
      <x:c r="W74" s="227"/>
      <x:c r="X74" s="227"/>
      <x:c r="Y74" s="227"/>
      <x:c r="Z74" s="227"/>
    </x:row>
    <x:row r="75">
      <x:c r="A75" s="243" t="str">
        <x:v>Delivery lag</x:v>
      </x:c>
      <x:c r="B75" s="247" t="n">
        <x:v>2</x:v>
      </x:c>
      <x:c r="C75" s="245" t="str">
        <x:v>months</x:v>
      </x:c>
      <x:c r="D75" s="245" t="str">
        <x:v>Both</x:v>
      </x:c>
      <x:c r="E75" s="246" t="str">
        <x:v>Confirmed</x:v>
      </x:c>
      <x:c r="F75" s="245" t="str">
        <x:v>Members receive products after two months</x:v>
      </x:c>
      <x:c r="G75" s="227"/>
      <x:c r="H75" s="227"/>
      <x:c r="I75" s="227"/>
      <x:c r="J75" s="227"/>
      <x:c r="K75" s="227"/>
      <x:c r="L75" s="227"/>
      <x:c r="M75" s="227"/>
      <x:c r="N75" s="227"/>
      <x:c r="O75" s="227"/>
      <x:c r="P75" s="227"/>
      <x:c r="Q75" s="227"/>
      <x:c r="R75" s="227"/>
      <x:c r="S75" s="227"/>
      <x:c r="T75" s="227"/>
      <x:c r="U75" s="227"/>
      <x:c r="V75" s="227"/>
      <x:c r="W75" s="227"/>
      <x:c r="X75" s="227"/>
      <x:c r="Y75" s="227"/>
      <x:c r="Z75" s="227"/>
    </x:row>
    <x:row r="76">
      <x:c r="A76" s="243" t="str">
        <x:v>Units per campaign</x:v>
      </x:c>
      <x:c r="B76" s="247" t="n">
        <x:v>5000</x:v>
      </x:c>
      <x:c r="C76" s="245" t="str">
        <x:v>magnets</x:v>
      </x:c>
      <x:c r="D76" s="245" t="str">
        <x:v>Both</x:v>
      </x:c>
      <x:c r="E76" s="246" t="str">
        <x:v>Confirmed</x:v>
      </x:c>
      <x:c r="F76" s="245" t="str">
        <x:v>Premium numbered member edition</x:v>
      </x:c>
      <x:c r="G76" s="227"/>
      <x:c r="H76" s="227"/>
      <x:c r="I76" s="227"/>
      <x:c r="J76" s="227"/>
      <x:c r="K76" s="227"/>
      <x:c r="L76" s="227"/>
      <x:c r="M76" s="227"/>
      <x:c r="N76" s="227"/>
      <x:c r="O76" s="227"/>
      <x:c r="P76" s="227"/>
      <x:c r="Q76" s="227"/>
      <x:c r="R76" s="227"/>
      <x:c r="S76" s="227"/>
      <x:c r="T76" s="227"/>
      <x:c r="U76" s="227"/>
      <x:c r="V76" s="227"/>
      <x:c r="W76" s="227"/>
      <x:c r="X76" s="227"/>
      <x:c r="Y76" s="227"/>
      <x:c r="Z76" s="227"/>
    </x:row>
    <x:row r="77">
      <x:c r="A77" s="243" t="str">
        <x:v>PVP per magnet</x:v>
      </x:c>
      <x:c r="B77" s="256" t="n">
        <x:v>40</x:v>
      </x:c>
      <x:c r="C77" s="245" t="str">
        <x:v>EUR/unit</x:v>
      </x:c>
      <x:c r="D77" s="245" t="str">
        <x:v>Both</x:v>
      </x:c>
      <x:c r="E77" s="246" t="str">
        <x:v>Confirmed</x:v>
      </x:c>
      <x:c r="F77" s="245" t="str">
        <x:v>Club-member sales price</x:v>
      </x:c>
      <x:c r="G77" s="227"/>
      <x:c r="H77" s="227"/>
      <x:c r="I77" s="227"/>
      <x:c r="J77" s="227"/>
      <x:c r="K77" s="227"/>
      <x:c r="L77" s="227"/>
      <x:c r="M77" s="227"/>
      <x:c r="N77" s="227"/>
      <x:c r="O77" s="227"/>
      <x:c r="P77" s="227"/>
      <x:c r="Q77" s="227"/>
      <x:c r="R77" s="227"/>
      <x:c r="S77" s="227"/>
      <x:c r="T77" s="227"/>
      <x:c r="U77" s="227"/>
      <x:c r="V77" s="227"/>
      <x:c r="W77" s="227"/>
      <x:c r="X77" s="227"/>
      <x:c r="Y77" s="227"/>
      <x:c r="Z77" s="227"/>
    </x:row>
    <x:row r="78">
      <x:c r="A78" s="243" t="str">
        <x:v>Member advance</x:v>
      </x:c>
      <x:c r="B78" s="255" t="n">
        <x:v>20</x:v>
      </x:c>
      <x:c r="C78" s="245" t="str">
        <x:v>EUR/unit</x:v>
      </x:c>
      <x:c r="D78" s="245" t="str">
        <x:v>Both</x:v>
      </x:c>
      <x:c r="E78" s="246" t="str">
        <x:v>Confirmed</x:v>
      </x:c>
      <x:c r="F78" s="245" t="str">
        <x:v>50% collected at order</x:v>
      </x:c>
      <x:c r="G78" s="227"/>
      <x:c r="H78" s="227"/>
      <x:c r="I78" s="227"/>
      <x:c r="J78" s="227"/>
      <x:c r="K78" s="227"/>
      <x:c r="L78" s="227"/>
      <x:c r="M78" s="227"/>
      <x:c r="N78" s="227"/>
      <x:c r="O78" s="227"/>
      <x:c r="P78" s="227"/>
      <x:c r="Q78" s="227"/>
      <x:c r="R78" s="227"/>
      <x:c r="S78" s="227"/>
      <x:c r="T78" s="227"/>
      <x:c r="U78" s="227"/>
      <x:c r="V78" s="227"/>
      <x:c r="W78" s="227"/>
      <x:c r="X78" s="227"/>
      <x:c r="Y78" s="227"/>
      <x:c r="Z78" s="227"/>
    </x:row>
    <x:row r="79">
      <x:c r="A79" s="243" t="str">
        <x:v>Club revenue share</x:v>
      </x:c>
      <x:c r="B79" s="252" t="n">
        <x:v>0.4</x:v>
      </x:c>
      <x:c r="C79" s="245" t="str">
        <x:v>% gross billings</x:v>
      </x:c>
      <x:c r="D79" s="245" t="str">
        <x:v>Both</x:v>
      </x:c>
      <x:c r="E79" s="246" t="str">
        <x:v>Confirmed</x:v>
      </x:c>
      <x:c r="F79" s="245" t="str">
        <x:v>40% club / 60% MAGNÆRA</x:v>
      </x:c>
      <x:c r="G79" s="227"/>
      <x:c r="H79" s="227"/>
      <x:c r="I79" s="227"/>
      <x:c r="J79" s="227"/>
      <x:c r="K79" s="227"/>
      <x:c r="L79" s="227"/>
      <x:c r="M79" s="227"/>
      <x:c r="N79" s="227"/>
      <x:c r="O79" s="227"/>
      <x:c r="P79" s="227"/>
      <x:c r="Q79" s="227"/>
      <x:c r="R79" s="227"/>
      <x:c r="S79" s="227"/>
      <x:c r="T79" s="227"/>
      <x:c r="U79" s="227"/>
      <x:c r="V79" s="227"/>
      <x:c r="W79" s="227"/>
      <x:c r="X79" s="227"/>
      <x:c r="Y79" s="227"/>
      <x:c r="Z79" s="227"/>
    </x:row>
    <x:row r="80">
      <x:c r="A80" s="243" t="str">
        <x:v>MAGNÆRA share</x:v>
      </x:c>
      <x:c r="B80" s="252" t="n">
        <x:v>0.6</x:v>
      </x:c>
      <x:c r="C80" s="245" t="str">
        <x:v>% gross billings</x:v>
      </x:c>
      <x:c r="D80" s="245" t="str">
        <x:v>Both</x:v>
      </x:c>
      <x:c r="E80" s="246" t="str">
        <x:v>Confirmed</x:v>
      </x:c>
      <x:c r="F80" s="245" t="str">
        <x:v>Before production and fulfilment costs</x:v>
      </x:c>
      <x:c r="G80" s="227"/>
      <x:c r="H80" s="227"/>
      <x:c r="I80" s="227"/>
      <x:c r="J80" s="227"/>
      <x:c r="K80" s="227"/>
      <x:c r="L80" s="227"/>
      <x:c r="M80" s="227"/>
      <x:c r="N80" s="227"/>
      <x:c r="O80" s="227"/>
      <x:c r="P80" s="227"/>
      <x:c r="Q80" s="227"/>
      <x:c r="R80" s="227"/>
      <x:c r="S80" s="227"/>
      <x:c r="T80" s="227"/>
      <x:c r="U80" s="227"/>
      <x:c r="V80" s="227"/>
      <x:c r="W80" s="227"/>
      <x:c r="X80" s="227"/>
      <x:c r="Y80" s="227"/>
      <x:c r="Z80" s="227"/>
    </x:row>
    <x:row r="81">
      <x:c r="A81" s="243" t="str">
        <x:v>Manufacturing cost</x:v>
      </x:c>
      <x:c r="B81" s="256" t="n">
        <x:v>5</x:v>
      </x:c>
      <x:c r="C81" s="245" t="str">
        <x:v>EUR/unit</x:v>
      </x:c>
      <x:c r="D81" s="245" t="str">
        <x:v>Both</x:v>
      </x:c>
      <x:c r="E81" s="246" t="str">
        <x:v>Confirmed estimate</x:v>
      </x:c>
      <x:c r="F81" s="245" t="str">
        <x:v>Premium numbered magnet</x:v>
      </x:c>
      <x:c r="G81" s="227"/>
      <x:c r="H81" s="227"/>
      <x:c r="I81" s="227"/>
      <x:c r="J81" s="227"/>
      <x:c r="K81" s="227"/>
      <x:c r="L81" s="227"/>
      <x:c r="M81" s="227"/>
      <x:c r="N81" s="227"/>
      <x:c r="O81" s="227"/>
      <x:c r="P81" s="227"/>
      <x:c r="Q81" s="227"/>
      <x:c r="R81" s="227"/>
      <x:c r="S81" s="227"/>
      <x:c r="T81" s="227"/>
      <x:c r="U81" s="227"/>
      <x:c r="V81" s="227"/>
      <x:c r="W81" s="227"/>
      <x:c r="X81" s="227"/>
      <x:c r="Y81" s="227"/>
      <x:c r="Z81" s="227"/>
    </x:row>
    <x:row r="82">
      <x:c r="A82" s="248" t="str">
        <x:v>Bulk logistics / fulfilment</x:v>
      </x:c>
      <x:c r="B82" s="253" t="n">
        <x:v>0.07</x:v>
      </x:c>
      <x:c r="C82" s="250" t="str">
        <x:v>% gross billings</x:v>
      </x:c>
      <x:c r="D82" s="250" t="str">
        <x:v>Both</x:v>
      </x:c>
      <x:c r="E82" s="251" t="str">
        <x:v>Needs confirmation</x:v>
      </x:c>
      <x:c r="F82" s="250" t="str">
        <x:v>Defaulted to the existing 7% logistics assumption</x:v>
      </x:c>
      <x:c r="G82" s="227"/>
      <x:c r="H82" s="227"/>
      <x:c r="I82" s="227"/>
      <x:c r="J82" s="227"/>
      <x:c r="K82" s="227"/>
      <x:c r="L82" s="227"/>
      <x:c r="M82" s="227"/>
      <x:c r="N82" s="227"/>
      <x:c r="O82" s="227"/>
      <x:c r="P82" s="227"/>
      <x:c r="Q82" s="227"/>
      <x:c r="R82" s="227"/>
      <x:c r="S82" s="227"/>
      <x:c r="T82" s="227"/>
      <x:c r="U82" s="227"/>
      <x:c r="V82" s="227"/>
      <x:c r="W82" s="227"/>
      <x:c r="X82" s="227"/>
      <x:c r="Y82" s="227"/>
      <x:c r="Z82" s="227"/>
    </x:row>
    <x:row r="83">
      <x:c r="A83" s="243" t="str">
        <x:v>Payment processing</x:v>
      </x:c>
      <x:c r="B83" s="252" t="n">
        <x:v>0.018</x:v>
      </x:c>
      <x:c r="C83" s="245" t="str">
        <x:v>% gross collections</x:v>
      </x:c>
      <x:c r="D83" s="245" t="str">
        <x:v>Both</x:v>
      </x:c>
      <x:c r="E83" s="246" t="str">
        <x:v>Working assumption</x:v>
      </x:c>
      <x:c r="F83" s="245" t="str">
        <x:v>Applied to advance and final payment</x:v>
      </x:c>
      <x:c r="G83" s="227"/>
      <x:c r="H83" s="227"/>
      <x:c r="I83" s="227"/>
      <x:c r="J83" s="227"/>
      <x:c r="K83" s="227"/>
      <x:c r="L83" s="227"/>
      <x:c r="M83" s="227"/>
      <x:c r="N83" s="227"/>
      <x:c r="O83" s="227"/>
      <x:c r="P83" s="227"/>
      <x:c r="Q83" s="227"/>
      <x:c r="R83" s="227"/>
      <x:c r="S83" s="227"/>
      <x:c r="T83" s="227"/>
      <x:c r="U83" s="227"/>
      <x:c r="V83" s="227"/>
      <x:c r="W83" s="227"/>
      <x:c r="X83" s="227"/>
      <x:c r="Y83" s="227"/>
      <x:c r="Z83" s="227"/>
    </x:row>
    <x:row r="84">
      <x:c r="A84" s="243" t="str">
        <x:v>Production deposit</x:v>
      </x:c>
      <x:c r="B84" s="252" t="n">
        <x:v>0.25</x:v>
      </x:c>
      <x:c r="C84" s="245" t="str">
        <x:v>% manufacturing cost</x:v>
      </x:c>
      <x:c r="D84" s="245" t="str">
        <x:v>Both</x:v>
      </x:c>
      <x:c r="E84" s="246" t="str">
        <x:v>Confirmed</x:v>
      </x:c>
      <x:c r="F84" s="245" t="str">
        <x:v>At order</x:v>
      </x:c>
      <x:c r="G84" s="227"/>
      <x:c r="H84" s="227"/>
      <x:c r="I84" s="227"/>
      <x:c r="J84" s="227"/>
      <x:c r="K84" s="227"/>
      <x:c r="L84" s="227"/>
      <x:c r="M84" s="227"/>
      <x:c r="N84" s="227"/>
      <x:c r="O84" s="227"/>
      <x:c r="P84" s="227"/>
      <x:c r="Q84" s="227"/>
      <x:c r="R84" s="227"/>
      <x:c r="S84" s="227"/>
      <x:c r="T84" s="227"/>
      <x:c r="U84" s="227"/>
      <x:c r="V84" s="227"/>
      <x:c r="W84" s="227"/>
      <x:c r="X84" s="227"/>
      <x:c r="Y84" s="227"/>
      <x:c r="Z84" s="227"/>
    </x:row>
    <x:row r="85">
      <x:c r="A85" s="243" t="str">
        <x:v>Production balance</x:v>
      </x:c>
      <x:c r="B85" s="252" t="n">
        <x:v>0.75</x:v>
      </x:c>
      <x:c r="C85" s="245" t="str">
        <x:v>% manufacturing cost</x:v>
      </x:c>
      <x:c r="D85" s="245" t="str">
        <x:v>Both</x:v>
      </x:c>
      <x:c r="E85" s="246" t="str">
        <x:v>Confirmed</x:v>
      </x:c>
      <x:c r="F85" s="245" t="str">
        <x:v>Before shipment</x:v>
      </x:c>
      <x:c r="G85" s="227"/>
      <x:c r="H85" s="227"/>
      <x:c r="I85" s="227"/>
      <x:c r="J85" s="227"/>
      <x:c r="K85" s="227"/>
      <x:c r="L85" s="227"/>
      <x:c r="M85" s="227"/>
      <x:c r="N85" s="227"/>
      <x:c r="O85" s="227"/>
      <x:c r="P85" s="227"/>
      <x:c r="Q85" s="227"/>
      <x:c r="R85" s="227"/>
      <x:c r="S85" s="227"/>
      <x:c r="T85" s="227"/>
      <x:c r="U85" s="227"/>
      <x:c r="V85" s="227"/>
      <x:c r="W85" s="227"/>
      <x:c r="X85" s="227"/>
      <x:c r="Y85" s="227"/>
      <x:c r="Z85" s="227"/>
    </x:row>
    <x:row r="86">
      <x:c r="A86" s="243" t="str">
        <x:v>Gross billings per campaign</x:v>
      </x:c>
      <x:c r="B86" s="258" t="n">
        <x:f>B76*B77</x:f>
        <x:v>200000</x:v>
      </x:c>
      <x:c r="C86" s="245" t="str">
        <x:v>EUR</x:v>
      </x:c>
      <x:c r="D86" s="245" t="str">
        <x:v>Both</x:v>
      </x:c>
      <x:c r="E86" s="246" t="str">
        <x:v>Formula</x:v>
      </x:c>
      <x:c r="F86" s="245" t="str">
        <x:v>5,000 × €40</x:v>
      </x:c>
      <x:c r="G86" s="227"/>
      <x:c r="H86" s="227"/>
      <x:c r="I86" s="227"/>
      <x:c r="J86" s="227"/>
      <x:c r="K86" s="227"/>
      <x:c r="L86" s="227"/>
      <x:c r="M86" s="227"/>
      <x:c r="N86" s="227"/>
      <x:c r="O86" s="227"/>
      <x:c r="P86" s="227"/>
      <x:c r="Q86" s="227"/>
      <x:c r="R86" s="227"/>
      <x:c r="S86" s="227"/>
      <x:c r="T86" s="227"/>
      <x:c r="U86" s="227"/>
      <x:c r="V86" s="227"/>
      <x:c r="W86" s="227"/>
      <x:c r="X86" s="227"/>
      <x:c r="Y86" s="227"/>
      <x:c r="Z86" s="227"/>
    </x:row>
    <x:row r="87">
      <x:c r="A87" s="243" t="str">
        <x:v>MAGNÆRA net revenue after club share</x:v>
      </x:c>
      <x:c r="B87" s="258" t="n">
        <x:f>B86*B80</x:f>
        <x:v>120000</x:v>
      </x:c>
      <x:c r="C87" s="245" t="str">
        <x:v>EUR</x:v>
      </x:c>
      <x:c r="D87" s="245" t="str">
        <x:v>Both</x:v>
      </x:c>
      <x:c r="E87" s="246" t="str">
        <x:v>Formula</x:v>
      </x:c>
      <x:c r="F87" s="245" t="str">
        <x:v>Gross × 60%</x:v>
      </x:c>
      <x:c r="G87" s="227"/>
      <x:c r="H87" s="227"/>
      <x:c r="I87" s="227"/>
      <x:c r="J87" s="227"/>
      <x:c r="K87" s="227"/>
      <x:c r="L87" s="227"/>
      <x:c r="M87" s="227"/>
      <x:c r="N87" s="227"/>
      <x:c r="O87" s="227"/>
      <x:c r="P87" s="227"/>
      <x:c r="Q87" s="227"/>
      <x:c r="R87" s="227"/>
      <x:c r="S87" s="227"/>
      <x:c r="T87" s="227"/>
      <x:c r="U87" s="227"/>
      <x:c r="V87" s="227"/>
      <x:c r="W87" s="227"/>
      <x:c r="X87" s="227"/>
      <x:c r="Y87" s="227"/>
      <x:c r="Z87" s="227"/>
    </x:row>
    <x:row r="88">
      <x:c r="A88" s="243" t="str">
        <x:v>Contribution per completed campaign</x:v>
      </x:c>
      <x:c r="B88" s="258" t="n">
        <x:f>B86-B86*B79-B76*B81-B86*B82-B86*B83</x:f>
        <x:v>77400</x:v>
      </x:c>
      <x:c r="C88" s="245" t="str">
        <x:v>EUR</x:v>
      </x:c>
      <x:c r="D88" s="245" t="str">
        <x:v>Both</x:v>
      </x:c>
      <x:c r="E88" s="246" t="str">
        <x:v>Formula</x:v>
      </x:c>
      <x:c r="F88" s="245" t="str">
        <x:v>After club share, manufacturing, logistics and processing</x:v>
      </x:c>
      <x:c r="G88" s="227"/>
      <x:c r="H88" s="227"/>
      <x:c r="I88" s="227"/>
      <x:c r="J88" s="227"/>
      <x:c r="K88" s="227"/>
      <x:c r="L88" s="227"/>
      <x:c r="M88" s="227"/>
      <x:c r="N88" s="227"/>
      <x:c r="O88" s="227"/>
      <x:c r="P88" s="227"/>
      <x:c r="Q88" s="227"/>
      <x:c r="R88" s="227"/>
      <x:c r="S88" s="227"/>
      <x:c r="T88" s="227"/>
      <x:c r="U88" s="227"/>
      <x:c r="V88" s="227"/>
      <x:c r="W88" s="227"/>
      <x:c r="X88" s="227"/>
      <x:c r="Y88" s="227"/>
      <x:c r="Z88" s="227"/>
    </x:row>
    <x:row r="89">
      <x:c r="A89" s="227"/>
      <x:c r="B89" s="227"/>
      <x:c r="C89" s="227"/>
      <x:c r="D89" s="227"/>
      <x:c r="E89" s="227"/>
      <x:c r="F89" s="227"/>
      <x:c r="G89" s="227"/>
      <x:c r="H89" s="227"/>
      <x:c r="I89" s="227"/>
      <x:c r="J89" s="227"/>
      <x:c r="K89" s="227"/>
      <x:c r="L89" s="227"/>
      <x:c r="M89" s="227"/>
      <x:c r="N89" s="227"/>
      <x:c r="O89" s="227"/>
      <x:c r="P89" s="227"/>
      <x:c r="Q89" s="227"/>
      <x:c r="R89" s="227"/>
      <x:c r="S89" s="227"/>
      <x:c r="T89" s="227"/>
      <x:c r="U89" s="227"/>
      <x:c r="V89" s="227"/>
      <x:c r="W89" s="227"/>
      <x:c r="X89" s="227"/>
      <x:c r="Y89" s="227"/>
      <x:c r="Z89" s="227"/>
    </x:row>
    <x:row r="90">
      <x:c r="A90" s="421" t="str">
        <x:v>PROFESSIONAL INVESTOR-MODEL ADJUSTMENTS</x:v>
      </x:c>
      <x:c r="B90" s="421"/>
      <x:c r="C90" s="421"/>
      <x:c r="D90" s="421"/>
      <x:c r="E90" s="421"/>
      <x:c r="F90" s="421"/>
      <x:c r="G90" s="227"/>
      <x:c r="H90" s="227"/>
      <x:c r="I90" s="227"/>
      <x:c r="J90" s="227"/>
      <x:c r="K90" s="227"/>
      <x:c r="L90" s="227"/>
      <x:c r="M90" s="227"/>
      <x:c r="N90" s="227"/>
      <x:c r="O90" s="227"/>
      <x:c r="P90" s="227"/>
      <x:c r="Q90" s="227"/>
      <x:c r="R90" s="227"/>
      <x:c r="S90" s="227"/>
      <x:c r="T90" s="227"/>
      <x:c r="U90" s="227"/>
      <x:c r="V90" s="227"/>
      <x:c r="W90" s="227"/>
      <x:c r="X90" s="227"/>
      <x:c r="Y90" s="227"/>
      <x:c r="Z90" s="227"/>
    </x:row>
    <x:row r="91">
      <x:c r="A91" s="227" t="str">
        <x:v>Corporate income tax proxy</x:v>
      </x:c>
      <x:c r="B91" s="426" t="n">
        <x:v>0.25</x:v>
      </x:c>
      <x:c r="C91" s="227" t="str">
        <x:v>% positive EBIT</x:v>
      </x:c>
      <x:c r="D91" s="227" t="str">
        <x:v>Both / reporting</x:v>
      </x:c>
      <x:c r="E91" s="227" t="str">
        <x:v>Management assumption</x:v>
      </x:c>
      <x:c r="F91" s="227" t="str">
        <x:v>Provision / liquidity reserve only; actual Spanish payment timing to be confirmed with tax adviser.</x:v>
      </x:c>
      <x:c r="G91" s="227"/>
      <x:c r="H91" s="227"/>
      <x:c r="I91" s="227"/>
      <x:c r="J91" s="227"/>
      <x:c r="K91" s="227"/>
      <x:c r="L91" s="227"/>
      <x:c r="M91" s="227"/>
      <x:c r="N91" s="227"/>
      <x:c r="O91" s="227"/>
      <x:c r="P91" s="227"/>
      <x:c r="Q91" s="227"/>
      <x:c r="R91" s="227"/>
      <x:c r="S91" s="227"/>
      <x:c r="T91" s="227"/>
      <x:c r="U91" s="227"/>
      <x:c r="V91" s="227"/>
      <x:c r="W91" s="227"/>
      <x:c r="X91" s="227"/>
      <x:c r="Y91" s="227"/>
      <x:c r="Z91" s="227"/>
    </x:row>
    <x:row r="92">
      <x:c r="A92" s="227" t="str">
        <x:v>Machine depreciation life</x:v>
      </x:c>
      <x:c r="B92" s="427" t="n">
        <x:v>60</x:v>
      </x:c>
      <x:c r="C92" s="227" t="str">
        <x:v>months</x:v>
      </x:c>
      <x:c r="D92" s="227" t="str">
        <x:v>Both / D&amp;A</x:v>
      </x:c>
      <x:c r="E92" s="227" t="str">
        <x:v>Management assumption</x:v>
      </x:c>
      <x:c r="F92" s="227" t="str">
        <x:v>Straight-line analytical depreciation on active machine hardware + installation.</x:v>
      </x:c>
      <x:c r="G92" s="227"/>
      <x:c r="H92" s="227"/>
      <x:c r="I92" s="227"/>
      <x:c r="J92" s="227"/>
      <x:c r="K92" s="227"/>
      <x:c r="L92" s="227"/>
      <x:c r="M92" s="227"/>
      <x:c r="N92" s="227"/>
      <x:c r="O92" s="227"/>
      <x:c r="P92" s="227"/>
      <x:c r="Q92" s="227"/>
      <x:c r="R92" s="227"/>
      <x:c r="S92" s="227"/>
      <x:c r="T92" s="227"/>
      <x:c r="U92" s="227"/>
      <x:c r="V92" s="227"/>
      <x:c r="W92" s="227"/>
      <x:c r="X92" s="227"/>
      <x:c r="Y92" s="227"/>
      <x:c r="Z92" s="227"/>
    </x:row>
    <x:row r="93">
      <x:c r="A93" s="227" t="str">
        <x:v>Additional brand / club royalty beyond modelled shares</x:v>
      </x:c>
      <x:c r="B93" s="426" t="n">
        <x:v>0</x:v>
      </x:c>
      <x:c r="C93" s="227" t="str">
        <x:v>% vending revenue</x:v>
      </x:c>
      <x:c r="D93" s="227" t="str">
        <x:v>Both / sensitivity</x:v>
      </x:c>
      <x:c r="E93" s="227" t="str">
        <x:v>Open diligence</x:v>
      </x:c>
      <x:c r="F93" s="227" t="str">
        <x:v>Base case includes 15% venue share and 40% club-member campaign share; no additional royalty quantified.</x:v>
      </x:c>
      <x:c r="G93" s="227"/>
      <x:c r="H93" s="227"/>
      <x:c r="I93" s="227"/>
      <x:c r="J93" s="227"/>
      <x:c r="K93" s="227"/>
      <x:c r="L93" s="227"/>
      <x:c r="M93" s="227"/>
      <x:c r="N93" s="227"/>
      <x:c r="O93" s="227"/>
      <x:c r="P93" s="227"/>
      <x:c r="Q93" s="227"/>
      <x:c r="R93" s="227"/>
      <x:c r="S93" s="227"/>
      <x:c r="T93" s="227"/>
      <x:c r="U93" s="227"/>
      <x:c r="V93" s="227"/>
      <x:c r="W93" s="227"/>
      <x:c r="X93" s="227"/>
      <x:c r="Y93" s="227"/>
      <x:c r="Z93" s="227"/>
    </x:row>
    <x:row r="94">
      <x:c r="A94" s="227" t="str">
        <x:v>Repairs / spare-parts reserve</x:v>
      </x:c>
      <x:c r="B94" s="428" t="n">
        <x:v>0</x:v>
      </x:c>
      <x:c r="C94" s="227" t="str">
        <x:v>EUR / active machine / month</x:v>
      </x:c>
      <x:c r="D94" s="227" t="str">
        <x:v>Both / sensitivity</x:v>
      </x:c>
      <x:c r="E94" s="227" t="str">
        <x:v>Open diligence</x:v>
      </x:c>
      <x:c r="F94" s="227" t="str">
        <x:v>Not separately quantified in source model; field maintenance assumed embedded in field-operations OPEX unless updated.</x:v>
      </x:c>
      <x:c r="G94" s="227"/>
      <x:c r="H94" s="227"/>
      <x:c r="I94" s="227"/>
      <x:c r="J94" s="227"/>
      <x:c r="K94" s="227"/>
      <x:c r="L94" s="227"/>
      <x:c r="M94" s="227"/>
      <x:c r="N94" s="227"/>
      <x:c r="O94" s="227"/>
      <x:c r="P94" s="227"/>
      <x:c r="Q94" s="227"/>
      <x:c r="R94" s="227"/>
      <x:c r="S94" s="227"/>
      <x:c r="T94" s="227"/>
      <x:c r="U94" s="227"/>
      <x:c r="V94" s="227"/>
      <x:c r="W94" s="227"/>
      <x:c r="X94" s="227"/>
      <x:c r="Y94" s="227"/>
      <x:c r="Z94" s="227"/>
    </x:row>
    <x:row r="95">
      <x:c r="A95" s="227" t="str">
        <x:v>Personnel cost envelopes treated as fully loaded</x:v>
      </x:c>
      <x:c r="B95" s="426" t="n">
        <x:v>1</x:v>
      </x:c>
      <x:c r="C95" s="227" t="str">
        <x:v>% / flag</x:v>
      </x:c>
      <x:c r="D95" s="227" t="str">
        <x:v>Both / personnel</x:v>
      </x:c>
      <x:c r="E95" s="227" t="str">
        <x:v>Model convention - confirm</x:v>
      </x:c>
      <x:c r="F95" s="227" t="str">
        <x:v>Assumes salary, employer burden and benefits are contained in the original OPEX envelopes; no second payroll burden added.</x:v>
      </x:c>
      <x:c r="G95" s="227"/>
      <x:c r="H95" s="227"/>
      <x:c r="I95" s="227"/>
      <x:c r="J95" s="227"/>
      <x:c r="K95" s="227"/>
      <x:c r="L95" s="227"/>
      <x:c r="M95" s="227"/>
      <x:c r="N95" s="227"/>
      <x:c r="O95" s="227"/>
      <x:c r="P95" s="227"/>
      <x:c r="Q95" s="227"/>
      <x:c r="R95" s="227"/>
      <x:c r="S95" s="227"/>
      <x:c r="T95" s="227"/>
      <x:c r="U95" s="227"/>
      <x:c r="V95" s="227"/>
      <x:c r="W95" s="227"/>
      <x:c r="X95" s="227"/>
      <x:c r="Y95" s="227"/>
      <x:c r="Z95" s="227"/>
    </x:row>
    <x:row r="96">
      <x:c r="A96" s="227" t="str">
        <x:v>VAT / import VAT included in reported P&amp;L</x:v>
      </x:c>
      <x:c r="B96" s="426" t="n">
        <x:v>0</x:v>
      </x:c>
      <x:c r="C96" s="227" t="str">
        <x:v>% / flag</x:v>
      </x:c>
      <x:c r="D96" s="227" t="str">
        <x:v>Tax / working capital</x:v>
      </x:c>
      <x:c r="E96" s="227" t="str">
        <x:v>Open diligence</x:v>
      </x:c>
      <x:c r="F96" s="227" t="str">
        <x:v>Base case remains VAT-neutral pending tax/customs confirmation; VAT/import VAT is not treated as an operating expense.</x:v>
      </x:c>
      <x:c r="G96" s="227"/>
      <x:c r="H96" s="227"/>
      <x:c r="I96" s="227"/>
      <x:c r="J96" s="227"/>
      <x:c r="K96" s="227"/>
      <x:c r="L96" s="227"/>
      <x:c r="M96" s="227"/>
      <x:c r="N96" s="227"/>
      <x:c r="O96" s="227"/>
      <x:c r="P96" s="227"/>
      <x:c r="Q96" s="227"/>
      <x:c r="R96" s="227"/>
      <x:c r="S96" s="227"/>
      <x:c r="T96" s="227"/>
      <x:c r="U96" s="227"/>
      <x:c r="V96" s="227"/>
      <x:c r="W96" s="227"/>
      <x:c r="X96" s="227"/>
      <x:c r="Y96" s="227"/>
      <x:c r="Z96" s="227"/>
    </x:row>
    <x:row r="97">
      <x:c r="A97" s="227" t="str">
        <x:v>Personnel / field-ops elasticity above 500 machines</x:v>
      </x:c>
      <x:c r="B97" s="429" t="n">
        <x:v>1</x:v>
      </x:c>
      <x:c r="C97" s="227" t="str">
        <x:v>x vs machine scale</x:v>
      </x:c>
      <x:c r="D97" s="227" t="str">
        <x:v>Scenario 2 OPEX</x:v>
      </x:c>
      <x:c r="E97" s="227" t="str">
        <x:v>Management scaling assumption</x:v>
      </x:c>
      <x:c r="F97" s="227" t="str">
        <x:v>Personnel and field operations scale approximately with active machine count.</x:v>
      </x:c>
      <x:c r="G97" s="227"/>
      <x:c r="H97" s="227"/>
      <x:c r="I97" s="227"/>
      <x:c r="J97" s="227"/>
      <x:c r="K97" s="227"/>
      <x:c r="L97" s="227"/>
      <x:c r="M97" s="227"/>
      <x:c r="N97" s="227"/>
      <x:c r="O97" s="227"/>
      <x:c r="P97" s="227"/>
      <x:c r="Q97" s="227"/>
      <x:c r="R97" s="227"/>
      <x:c r="S97" s="227"/>
      <x:c r="T97" s="227"/>
      <x:c r="U97" s="227"/>
      <x:c r="V97" s="227"/>
      <x:c r="W97" s="227"/>
      <x:c r="X97" s="227"/>
      <x:c r="Y97" s="227"/>
      <x:c r="Z97" s="227"/>
    </x:row>
    <x:row r="98">
      <x:c r="A98" s="227" t="str">
        <x:v>Technology / cloud / data elasticity above 500</x:v>
      </x:c>
      <x:c r="B98" s="429" t="n">
        <x:v>0.65</x:v>
      </x:c>
      <x:c r="C98" s="227" t="str">
        <x:v>x vs machine scale</x:v>
      </x:c>
      <x:c r="D98" s="227" t="str">
        <x:v>Scenario 2 OPEX</x:v>
      </x:c>
      <x:c r="E98" s="227" t="str">
        <x:v>Management scaling assumption</x:v>
      </x:c>
      <x:c r="F98" s="227" t="str">
        <x:v>Technology scales sub-linearly due to platform leverage.</x:v>
      </x:c>
      <x:c r="G98" s="227"/>
      <x:c r="H98" s="227"/>
      <x:c r="I98" s="227"/>
      <x:c r="J98" s="227"/>
      <x:c r="K98" s="227"/>
      <x:c r="L98" s="227"/>
      <x:c r="M98" s="227"/>
      <x:c r="N98" s="227"/>
      <x:c r="O98" s="227"/>
      <x:c r="P98" s="227"/>
      <x:c r="Q98" s="227"/>
      <x:c r="R98" s="227"/>
      <x:c r="S98" s="227"/>
      <x:c r="T98" s="227"/>
      <x:c r="U98" s="227"/>
      <x:c r="V98" s="227"/>
      <x:c r="W98" s="227"/>
      <x:c r="X98" s="227"/>
      <x:c r="Y98" s="227"/>
      <x:c r="Z98" s="227"/>
    </x:row>
    <x:row r="99">
      <x:c r="A99" s="227" t="str">
        <x:v>Office / insurance / finance / admin elasticity above 500</x:v>
      </x:c>
      <x:c r="B99" s="429" t="n">
        <x:v>0.5</x:v>
      </x:c>
      <x:c r="C99" s="227" t="str">
        <x:v>x vs machine scale</x:v>
      </x:c>
      <x:c r="D99" s="227" t="str">
        <x:v>Scenario 2 OPEX</x:v>
      </x:c>
      <x:c r="E99" s="227" t="str">
        <x:v>Management scaling assumption</x:v>
      </x:c>
      <x:c r="F99" s="227" t="str">
        <x:v>Corporate overhead grows more slowly than machine count.</x:v>
      </x:c>
      <x:c r="G99" s="227"/>
      <x:c r="H99" s="227"/>
      <x:c r="I99" s="227"/>
      <x:c r="J99" s="227"/>
      <x:c r="K99" s="227"/>
      <x:c r="L99" s="227"/>
      <x:c r="M99" s="227"/>
      <x:c r="N99" s="227"/>
      <x:c r="O99" s="227"/>
      <x:c r="P99" s="227"/>
      <x:c r="Q99" s="227"/>
      <x:c r="R99" s="227"/>
      <x:c r="S99" s="227"/>
      <x:c r="T99" s="227"/>
      <x:c r="U99" s="227"/>
      <x:c r="V99" s="227"/>
      <x:c r="W99" s="227"/>
      <x:c r="X99" s="227"/>
      <x:c r="Y99" s="227"/>
      <x:c r="Z99" s="227"/>
    </x:row>
    <x:row r="100">
      <x:c r="A100" s="227" t="str">
        <x:v>Legal / commercial / licences elasticity above 500</x:v>
      </x:c>
      <x:c r="B100" s="429" t="n">
        <x:v>0.5</x:v>
      </x:c>
      <x:c r="C100" s="227" t="str">
        <x:v>x vs machine scale</x:v>
      </x:c>
      <x:c r="D100" s="227" t="str">
        <x:v>Scenario 2 OPEX</x:v>
      </x:c>
      <x:c r="E100" s="227" t="str">
        <x:v>Management scaling assumption</x:v>
      </x:c>
      <x:c r="F100" s="227" t="str">
        <x:v>Legal/commercial support grows with footprint and rights complexity.</x:v>
      </x:c>
      <x:c r="G100" s="227"/>
      <x:c r="H100" s="227"/>
      <x:c r="I100" s="227"/>
      <x:c r="J100" s="227"/>
      <x:c r="K100" s="227"/>
      <x:c r="L100" s="227"/>
      <x:c r="M100" s="227"/>
      <x:c r="N100" s="227"/>
      <x:c r="O100" s="227"/>
      <x:c r="P100" s="227"/>
      <x:c r="Q100" s="227"/>
      <x:c r="R100" s="227"/>
      <x:c r="S100" s="227"/>
      <x:c r="T100" s="227"/>
      <x:c r="U100" s="227"/>
      <x:c r="V100" s="227"/>
      <x:c r="W100" s="227"/>
      <x:c r="X100" s="227"/>
      <x:c r="Y100" s="227"/>
      <x:c r="Z100" s="227"/>
    </x:row>
    <x:row r="101">
      <x:c r="A101" s="61" t="str">
        <x:v>Brand / launch / sales elasticity above 500</x:v>
      </x:c>
      <x:c r="B101" s="431" t="n">
        <x:v>0.6</x:v>
      </x:c>
      <x:c r="C101" s="61" t="str">
        <x:v>x vs machine scale</x:v>
      </x:c>
      <x:c r="D101" s="61" t="str">
        <x:v>Scenario 2 OPEX</x:v>
      </x:c>
      <x:c r="E101" s="61" t="str">
        <x:v>Management scaling assumption</x:v>
      </x:c>
      <x:c r="F101" s="61" t="str">
        <x:v>Brand and sales operations expand with national network scale.</x:v>
      </x:c>
    </x:row>
  </x:sheetData>
  <x:mergeCells>
    <x:mergeCell ref="A1:F1"/>
    <x:mergeCell ref="A2:F2"/>
    <x:mergeCell ref="A4:F4"/>
    <x:mergeCell ref="A21:F21"/>
    <x:mergeCell ref="A38:F38"/>
    <x:mergeCell ref="A64:F64"/>
    <x:mergeCell ref="A72:F72"/>
    <x:mergeCell ref="A90:F90"/>
  </x:mergeCells>
  <x:pageMargins left="0.7" right="0.7" top="0.75" bottom="0.75" header="0.3" footer="0.3"/>
</x:worksheet>
</file>

<file path=xl/worksheets/sheet3.xml><?xml version="1.0" encoding="utf-8"?>
<x:worksheet xmlns:x="http://schemas.openxmlformats.org/spreadsheetml/2006/main">
  <x:sheetFormatPr defaultRowHeight="15"/>
  <x:cols>
    <x:col min="1" max="1" width="34" hidden="0" customWidth="1"/>
    <x:col min="2" max="2" width="28" hidden="0" customWidth="1"/>
    <x:col min="3" max="3" width="18" hidden="0" customWidth="1"/>
    <x:col min="4" max="4" width="45" hidden="0" customWidth="1"/>
  </x:cols>
  <x:sheetData>
    <x:row r="1" ht="32" customHeight="1">
      <x:c r="A1" s="284" t="str">
        <x:v>FOOTBALL-CLUB MEMBER CAMPAIGN</x:v>
      </x:c>
      <x:c r="B1" s="284" t="str">
        <x:v>FOOTBALL-CLUB MEMBER CAMPAIGN</x:v>
      </x:c>
      <x:c r="C1" s="284" t="str">
        <x:v>FOOTBALL-CLUB MEMBER CAMPAIGN</x:v>
      </x:c>
      <x:c r="D1" s="284" t="str">
        <x:v>FOOTBALL-CLUB MEMBER CAMPAIGN</x:v>
      </x:c>
      <x:c r="E1" s="284" t="str">
        <x:v>FOOTBALL-CLUB MEMBER CAMPAIGN</x:v>
      </x:c>
      <x:c r="F1" s="284" t="str">
        <x:v>FOOTBALL-CLUB MEMBER CAMPAIGN</x:v>
      </x:c>
      <x:c r="G1" s="284" t="str">
        <x:v>FOOTBALL-CLUB MEMBER CAMPAIGN</x:v>
      </x:c>
      <x:c r="H1" s="284" t="str">
        <x:v>FOOTBALL-CLUB MEMBER CAMPAIGN</x:v>
      </x:c>
      <x:c r="I1" s="227"/>
      <x:c r="J1" s="227"/>
      <x:c r="K1" s="227"/>
      <x:c r="L1" s="227"/>
      <x:c r="M1" s="227"/>
      <x:c r="N1" s="227"/>
      <x:c r="O1" s="227"/>
      <x:c r="P1" s="227"/>
      <x:c r="Q1" s="227"/>
      <x:c r="R1" s="227"/>
      <x:c r="S1" s="227"/>
      <x:c r="T1" s="227"/>
      <x:c r="U1" s="227"/>
      <x:c r="V1" s="227"/>
      <x:c r="W1" s="227"/>
      <x:c r="X1" s="227"/>
      <x:c r="Y1" s="227"/>
      <x:c r="Z1" s="227"/>
    </x:row>
    <x:row r="2" ht="24" customHeight="1">
      <x:c r="A2" s="285" t="str">
        <x:v>Same incremental commercial line in both scenarios</x:v>
      </x:c>
      <x:c r="B2" s="285" t="str">
        <x:v>Same incremental commercial line in both scenarios</x:v>
      </x:c>
      <x:c r="C2" s="285" t="str">
        <x:v>Same incremental commercial line in both scenarios</x:v>
      </x:c>
      <x:c r="D2" s="285" t="str">
        <x:v>Same incremental commercial line in both scenarios</x:v>
      </x:c>
      <x:c r="E2" s="285" t="str">
        <x:v>Same incremental commercial line in both scenarios</x:v>
      </x:c>
      <x:c r="F2" s="285" t="str">
        <x:v>Same incremental commercial line in both scenarios</x:v>
      </x:c>
      <x:c r="G2" s="285" t="str">
        <x:v>Same incremental commercial line in both scenarios</x:v>
      </x:c>
      <x:c r="H2" s="285" t="str">
        <x:v>Same incremental commercial line in both scenarios</x:v>
      </x:c>
      <x:c r="I2" s="227"/>
      <x:c r="J2" s="227"/>
      <x:c r="K2" s="227"/>
      <x:c r="L2" s="227"/>
      <x:c r="M2" s="227"/>
      <x:c r="N2" s="227"/>
      <x:c r="O2" s="227"/>
      <x:c r="P2" s="227"/>
      <x:c r="Q2" s="227"/>
      <x:c r="R2" s="227"/>
      <x:c r="S2" s="227"/>
      <x:c r="T2" s="227"/>
      <x:c r="U2" s="227"/>
      <x:c r="V2" s="227"/>
      <x:c r="W2" s="227"/>
      <x:c r="X2" s="227"/>
      <x:c r="Y2" s="227"/>
      <x:c r="Z2" s="227"/>
    </x:row>
    <x:row r="3">
      <x:c r="A3" s="300" t="str">
        <x:v>Per campaign economics</x:v>
      </x:c>
      <x:c r="B3" s="300" t="str">
        <x:v>Formula</x:v>
      </x:c>
      <x:c r="C3" s="300" t="str">
        <x:v>Amount</x:v>
      </x:c>
      <x:c r="D3" s="300" t="str">
        <x:v>Treatment</x:v>
      </x:c>
      <x:c r="E3" s="227"/>
      <x:c r="F3" s="227"/>
      <x:c r="G3" s="227"/>
      <x:c r="H3" s="227"/>
      <x:c r="I3" s="227"/>
      <x:c r="J3" s="227"/>
      <x:c r="K3" s="227"/>
      <x:c r="L3" s="227"/>
      <x:c r="M3" s="227"/>
      <x:c r="N3" s="227"/>
      <x:c r="O3" s="227"/>
      <x:c r="P3" s="227"/>
      <x:c r="Q3" s="227"/>
      <x:c r="R3" s="227"/>
      <x:c r="S3" s="227"/>
      <x:c r="T3" s="227"/>
      <x:c r="U3" s="227"/>
      <x:c r="V3" s="227"/>
      <x:c r="W3" s="227"/>
      <x:c r="X3" s="227"/>
      <x:c r="Y3" s="227"/>
      <x:c r="Z3" s="227"/>
    </x:row>
    <x:row r="4">
      <x:c r="A4" s="227" t="str">
        <x:v>Units</x:v>
      </x:c>
      <x:c r="B4" s="227" t="str">
        <x:v>5,000</x:v>
      </x:c>
      <x:c r="C4" s="301" t="n">
        <x:v>5000</x:v>
      </x:c>
      <x:c r="D4" s="227" t="str">
        <x:v>Premium numbered member edition</x:v>
      </x:c>
      <x:c r="E4" s="227"/>
      <x:c r="F4" s="227"/>
      <x:c r="G4" s="227"/>
      <x:c r="H4" s="227"/>
      <x:c r="I4" s="227"/>
      <x:c r="J4" s="227"/>
      <x:c r="K4" s="227"/>
      <x:c r="L4" s="227"/>
      <x:c r="M4" s="227"/>
      <x:c r="N4" s="227"/>
      <x:c r="O4" s="227"/>
      <x:c r="P4" s="227"/>
      <x:c r="Q4" s="227"/>
      <x:c r="R4" s="227"/>
      <x:c r="S4" s="227"/>
      <x:c r="T4" s="227"/>
      <x:c r="U4" s="227"/>
      <x:c r="V4" s="227"/>
      <x:c r="W4" s="227"/>
      <x:c r="X4" s="227"/>
      <x:c r="Y4" s="227"/>
      <x:c r="Z4" s="227"/>
    </x:row>
    <x:row r="5">
      <x:c r="A5" s="227" t="str">
        <x:v>Gross billings</x:v>
      </x:c>
      <x:c r="B5" s="227" t="str">
        <x:v>5,000 × €40</x:v>
      </x:c>
      <x:c r="C5" s="302" t="n">
        <x:v>200000</x:v>
      </x:c>
      <x:c r="D5" s="227" t="str">
        <x:v>Recognised on delivery</x:v>
      </x:c>
      <x:c r="E5" s="227"/>
      <x:c r="F5" s="227"/>
      <x:c r="G5" s="227"/>
      <x:c r="H5" s="227"/>
      <x:c r="I5" s="227"/>
      <x:c r="J5" s="227"/>
      <x:c r="K5" s="227"/>
      <x:c r="L5" s="227"/>
      <x:c r="M5" s="227"/>
      <x:c r="N5" s="227"/>
      <x:c r="O5" s="227"/>
      <x:c r="P5" s="227"/>
      <x:c r="Q5" s="227"/>
      <x:c r="R5" s="227"/>
      <x:c r="S5" s="227"/>
      <x:c r="T5" s="227"/>
      <x:c r="U5" s="227"/>
      <x:c r="V5" s="227"/>
      <x:c r="W5" s="227"/>
      <x:c r="X5" s="227"/>
      <x:c r="Y5" s="227"/>
      <x:c r="Z5" s="227"/>
    </x:row>
    <x:row r="6">
      <x:c r="A6" s="227" t="str">
        <x:v>Member advance</x:v>
      </x:c>
      <x:c r="B6" s="227" t="str">
        <x:v>5,000 × €20</x:v>
      </x:c>
      <x:c r="C6" s="302" t="n">
        <x:v>100000</x:v>
      </x:c>
      <x:c r="D6" s="227" t="str">
        <x:v>Cash at order; deferred revenue until delivery</x:v>
      </x:c>
      <x:c r="E6" s="227"/>
      <x:c r="F6" s="227"/>
      <x:c r="G6" s="227"/>
      <x:c r="H6" s="227"/>
      <x:c r="I6" s="227"/>
      <x:c r="J6" s="227"/>
      <x:c r="K6" s="227"/>
      <x:c r="L6" s="227"/>
      <x:c r="M6" s="227"/>
      <x:c r="N6" s="227"/>
      <x:c r="O6" s="227"/>
      <x:c r="P6" s="227"/>
      <x:c r="Q6" s="227"/>
      <x:c r="R6" s="227"/>
      <x:c r="S6" s="227"/>
      <x:c r="T6" s="227"/>
      <x:c r="U6" s="227"/>
      <x:c r="V6" s="227"/>
      <x:c r="W6" s="227"/>
      <x:c r="X6" s="227"/>
      <x:c r="Y6" s="227"/>
      <x:c r="Z6" s="227"/>
    </x:row>
    <x:row r="7">
      <x:c r="A7" s="227" t="str">
        <x:v>Final collection</x:v>
      </x:c>
      <x:c r="B7" s="227" t="str">
        <x:v>5,000 × €20</x:v>
      </x:c>
      <x:c r="C7" s="302" t="n">
        <x:v>100000</x:v>
      </x:c>
      <x:c r="D7" s="227" t="str">
        <x:v>Cash at delivery</x:v>
      </x:c>
      <x:c r="E7" s="227"/>
      <x:c r="F7" s="227"/>
      <x:c r="G7" s="227"/>
      <x:c r="H7" s="227"/>
      <x:c r="I7" s="227"/>
      <x:c r="J7" s="227"/>
      <x:c r="K7" s="227"/>
      <x:c r="L7" s="227"/>
      <x:c r="M7" s="227"/>
      <x:c r="N7" s="227"/>
      <x:c r="O7" s="227"/>
      <x:c r="P7" s="227"/>
      <x:c r="Q7" s="227"/>
      <x:c r="R7" s="227"/>
      <x:c r="S7" s="227"/>
      <x:c r="T7" s="227"/>
      <x:c r="U7" s="227"/>
      <x:c r="V7" s="227"/>
      <x:c r="W7" s="227"/>
      <x:c r="X7" s="227"/>
      <x:c r="Y7" s="227"/>
      <x:c r="Z7" s="227"/>
    </x:row>
    <x:row r="8">
      <x:c r="A8" s="227" t="str">
        <x:v>Club share</x:v>
      </x:c>
      <x:c r="B8" s="227" t="str">
        <x:v>40% × gross billings</x:v>
      </x:c>
      <x:c r="C8" s="302" t="n">
        <x:v>80000</x:v>
      </x:c>
      <x:c r="D8" s="227" t="str">
        <x:v>Paid to club</x:v>
      </x:c>
      <x:c r="E8" s="227"/>
      <x:c r="F8" s="227"/>
      <x:c r="G8" s="227"/>
      <x:c r="H8" s="227"/>
      <x:c r="I8" s="227"/>
      <x:c r="J8" s="227"/>
      <x:c r="K8" s="227"/>
      <x:c r="L8" s="227"/>
      <x:c r="M8" s="227"/>
      <x:c r="N8" s="227"/>
      <x:c r="O8" s="227"/>
      <x:c r="P8" s="227"/>
      <x:c r="Q8" s="227"/>
      <x:c r="R8" s="227"/>
      <x:c r="S8" s="227"/>
      <x:c r="T8" s="227"/>
      <x:c r="U8" s="227"/>
      <x:c r="V8" s="227"/>
      <x:c r="W8" s="227"/>
      <x:c r="X8" s="227"/>
      <x:c r="Y8" s="227"/>
      <x:c r="Z8" s="227"/>
    </x:row>
    <x:row r="9">
      <x:c r="A9" s="227" t="str">
        <x:v>MAGNÆRA retained revenue</x:v>
      </x:c>
      <x:c r="B9" s="227" t="str">
        <x:v>60% × gross billings</x:v>
      </x:c>
      <x:c r="C9" s="302" t="n">
        <x:v>120000</x:v>
      </x:c>
      <x:c r="D9" s="227" t="str">
        <x:v>Before direct production / fulfilment costs</x:v>
      </x:c>
      <x:c r="E9" s="227"/>
      <x:c r="F9" s="227"/>
      <x:c r="G9" s="227"/>
      <x:c r="H9" s="227"/>
      <x:c r="I9" s="227"/>
      <x:c r="J9" s="227"/>
      <x:c r="K9" s="227"/>
      <x:c r="L9" s="227"/>
      <x:c r="M9" s="227"/>
      <x:c r="N9" s="227"/>
      <x:c r="O9" s="227"/>
      <x:c r="P9" s="227"/>
      <x:c r="Q9" s="227"/>
      <x:c r="R9" s="227"/>
      <x:c r="S9" s="227"/>
      <x:c r="T9" s="227"/>
      <x:c r="U9" s="227"/>
      <x:c r="V9" s="227"/>
      <x:c r="W9" s="227"/>
      <x:c r="X9" s="227"/>
      <x:c r="Y9" s="227"/>
      <x:c r="Z9" s="227"/>
    </x:row>
    <x:row r="10">
      <x:c r="A10" s="227" t="str">
        <x:v>Manufacturing</x:v>
      </x:c>
      <x:c r="B10" s="227" t="str">
        <x:v>5,000 × €5</x:v>
      </x:c>
      <x:c r="C10" s="302" t="n">
        <x:v>25000</x:v>
      </x:c>
      <x:c r="D10" s="227" t="str">
        <x:v>25% at order; 75% before shipment</x:v>
      </x:c>
      <x:c r="E10" s="227"/>
      <x:c r="F10" s="227"/>
      <x:c r="G10" s="227"/>
      <x:c r="H10" s="227"/>
      <x:c r="I10" s="227"/>
      <x:c r="J10" s="227"/>
      <x:c r="K10" s="227"/>
      <x:c r="L10" s="227"/>
      <x:c r="M10" s="227"/>
      <x:c r="N10" s="227"/>
      <x:c r="O10" s="227"/>
      <x:c r="P10" s="227"/>
      <x:c r="Q10" s="227"/>
      <x:c r="R10" s="227"/>
      <x:c r="S10" s="227"/>
      <x:c r="T10" s="227"/>
      <x:c r="U10" s="227"/>
      <x:c r="V10" s="227"/>
      <x:c r="W10" s="227"/>
      <x:c r="X10" s="227"/>
      <x:c r="Y10" s="227"/>
      <x:c r="Z10" s="227"/>
    </x:row>
    <x:row r="11">
      <x:c r="A11" s="227" t="str">
        <x:v>Bulk logistics / fulfilment</x:v>
      </x:c>
      <x:c r="B11" s="227" t="str">
        <x:v>7% × gross billings</x:v>
      </x:c>
      <x:c r="C11" s="302" t="n">
        <x:v>14000</x:v>
      </x:c>
      <x:c r="D11" s="227" t="str">
        <x:v>Paid at 60 days; editable assumption</x:v>
      </x:c>
      <x:c r="E11" s="227"/>
      <x:c r="F11" s="227"/>
      <x:c r="G11" s="227"/>
      <x:c r="H11" s="227"/>
      <x:c r="I11" s="227"/>
      <x:c r="J11" s="227"/>
      <x:c r="K11" s="227"/>
      <x:c r="L11" s="227"/>
      <x:c r="M11" s="227"/>
      <x:c r="N11" s="227"/>
      <x:c r="O11" s="227"/>
      <x:c r="P11" s="227"/>
      <x:c r="Q11" s="227"/>
      <x:c r="R11" s="227"/>
      <x:c r="S11" s="227"/>
      <x:c r="T11" s="227"/>
      <x:c r="U11" s="227"/>
      <x:c r="V11" s="227"/>
      <x:c r="W11" s="227"/>
      <x:c r="X11" s="227"/>
      <x:c r="Y11" s="227"/>
      <x:c r="Z11" s="227"/>
    </x:row>
    <x:row r="12">
      <x:c r="A12" s="227" t="str">
        <x:v>Payment processing</x:v>
      </x:c>
      <x:c r="B12" s="227" t="str">
        <x:v>1.8% × gross billings</x:v>
      </x:c>
      <x:c r="C12" s="302" t="n">
        <x:v>3600</x:v>
      </x:c>
      <x:c r="D12" s="227" t="str">
        <x:v>Applied to advance and final payment</x:v>
      </x:c>
      <x:c r="E12" s="227"/>
      <x:c r="F12" s="227"/>
      <x:c r="G12" s="227"/>
      <x:c r="H12" s="227"/>
      <x:c r="I12" s="227"/>
      <x:c r="J12" s="227"/>
      <x:c r="K12" s="227"/>
      <x:c r="L12" s="227"/>
      <x:c r="M12" s="227"/>
      <x:c r="N12" s="227"/>
      <x:c r="O12" s="227"/>
      <x:c r="P12" s="227"/>
      <x:c r="Q12" s="227"/>
      <x:c r="R12" s="227"/>
      <x:c r="S12" s="227"/>
      <x:c r="T12" s="227"/>
      <x:c r="U12" s="227"/>
      <x:c r="V12" s="227"/>
      <x:c r="W12" s="227"/>
      <x:c r="X12" s="227"/>
      <x:c r="Y12" s="227"/>
      <x:c r="Z12" s="227"/>
    </x:row>
    <x:row r="13">
      <x:c r="A13" s="227" t="str">
        <x:v>Contribution per completed campaign</x:v>
      </x:c>
      <x:c r="B13" s="227" t="str">
        <x:v>Gross less all direct costs</x:v>
      </x:c>
      <x:c r="C13" s="302" t="n">
        <x:v>77400</x:v>
      </x:c>
      <x:c r="D13" s="227" t="str">
        <x:v>Before fixed corporate OPEX and tax</x:v>
      </x:c>
      <x:c r="E13" s="227"/>
      <x:c r="F13" s="227"/>
      <x:c r="G13" s="227"/>
      <x:c r="H13" s="227"/>
      <x:c r="I13" s="227"/>
      <x:c r="J13" s="227"/>
      <x:c r="K13" s="227"/>
      <x:c r="L13" s="227"/>
      <x:c r="M13" s="227"/>
      <x:c r="N13" s="227"/>
      <x:c r="O13" s="227"/>
      <x:c r="P13" s="227"/>
      <x:c r="Q13" s="227"/>
      <x:c r="R13" s="227"/>
      <x:c r="S13" s="227"/>
      <x:c r="T13" s="227"/>
      <x:c r="U13" s="227"/>
      <x:c r="V13" s="227"/>
      <x:c r="W13" s="227"/>
      <x:c r="X13" s="227"/>
      <x:c r="Y13" s="227"/>
      <x:c r="Z13" s="227"/>
    </x:row>
    <x:row r="14">
      <x:c r="A14" s="227" t="str">
        <x:v>Contribution margin</x:v>
      </x:c>
      <x:c r="B14" s="227" t="str">
        <x:v>Contribution / gross billings</x:v>
      </x:c>
      <x:c r="C14" s="303" t="n">
        <x:v>0.387</x:v>
      </x:c>
      <x:c r="D14" s="227" t="str">
        <x:v>Incremental EBITDA margin before fixed OPEX</x:v>
      </x:c>
      <x:c r="E14" s="227"/>
      <x:c r="F14" s="227"/>
      <x:c r="G14" s="227"/>
      <x:c r="H14" s="227"/>
      <x:c r="I14" s="227"/>
      <x:c r="J14" s="227"/>
      <x:c r="K14" s="227"/>
      <x:c r="L14" s="227"/>
      <x:c r="M14" s="227"/>
      <x:c r="N14" s="227"/>
      <x:c r="O14" s="227"/>
      <x:c r="P14" s="227"/>
      <x:c r="Q14" s="227"/>
      <x:c r="R14" s="227"/>
      <x:c r="S14" s="227"/>
      <x:c r="T14" s="227"/>
      <x:c r="U14" s="227"/>
      <x:c r="V14" s="227"/>
      <x:c r="W14" s="227"/>
      <x:c r="X14" s="227"/>
      <x:c r="Y14" s="227"/>
      <x:c r="Z14" s="227"/>
    </x:row>
    <x:row r="15">
      <x:c r="A15" s="227"/>
      <x:c r="B15" s="227"/>
      <x:c r="C15" s="227"/>
      <x:c r="D15" s="227"/>
      <x:c r="E15" s="227"/>
      <x:c r="F15" s="227"/>
      <x:c r="G15" s="227"/>
      <x:c r="H15" s="227"/>
      <x:c r="I15" s="227"/>
      <x:c r="J15" s="227"/>
      <x:c r="K15" s="227"/>
      <x:c r="L15" s="227"/>
      <x:c r="M15" s="227"/>
      <x:c r="N15" s="227"/>
      <x:c r="O15" s="227"/>
      <x:c r="P15" s="227"/>
      <x:c r="Q15" s="227"/>
      <x:c r="R15" s="227"/>
      <x:c r="S15" s="227"/>
      <x:c r="T15" s="227"/>
      <x:c r="U15" s="227"/>
      <x:c r="V15" s="227"/>
      <x:c r="W15" s="227"/>
      <x:c r="X15" s="227"/>
      <x:c r="Y15" s="227"/>
      <x:c r="Z15" s="227"/>
    </x:row>
    <x:row r="16">
      <x:c r="A16" s="300" t="str">
        <x:v>Cash timing</x:v>
      </x:c>
      <x:c r="B16" s="300" t="str">
        <x:v>Order month</x:v>
      </x:c>
      <x:c r="C16" s="300" t="str">
        <x:v>Month +1</x:v>
      </x:c>
      <x:c r="D16" s="300" t="str">
        <x:v>Delivery month / later</x:v>
      </x:c>
      <x:c r="E16" s="227"/>
      <x:c r="F16" s="227"/>
      <x:c r="G16" s="227"/>
      <x:c r="H16" s="227"/>
      <x:c r="I16" s="227"/>
      <x:c r="J16" s="227"/>
      <x:c r="K16" s="227"/>
      <x:c r="L16" s="227"/>
      <x:c r="M16" s="227"/>
      <x:c r="N16" s="227"/>
      <x:c r="O16" s="227"/>
      <x:c r="P16" s="227"/>
      <x:c r="Q16" s="227"/>
      <x:c r="R16" s="227"/>
      <x:c r="S16" s="227"/>
      <x:c r="T16" s="227"/>
      <x:c r="U16" s="227"/>
      <x:c r="V16" s="227"/>
      <x:c r="W16" s="227"/>
      <x:c r="X16" s="227"/>
      <x:c r="Y16" s="227"/>
      <x:c r="Z16" s="227"/>
    </x:row>
    <x:row r="17">
      <x:c r="A17" s="227" t="str">
        <x:v>Member cash received</x:v>
      </x:c>
      <x:c r="B17" s="302" t="n">
        <x:v>100000</x:v>
      </x:c>
      <x:c r="C17" s="302" t="n">
        <x:v>0</x:v>
      </x:c>
      <x:c r="D17" s="227" t="n">
        <x:v>100000</x:v>
      </x:c>
      <x:c r="E17" s="227"/>
      <x:c r="F17" s="227"/>
      <x:c r="G17" s="227"/>
      <x:c r="H17" s="227"/>
      <x:c r="I17" s="227"/>
      <x:c r="J17" s="227"/>
      <x:c r="K17" s="227"/>
      <x:c r="L17" s="227"/>
      <x:c r="M17" s="227"/>
      <x:c r="N17" s="227"/>
      <x:c r="O17" s="227"/>
      <x:c r="P17" s="227"/>
      <x:c r="Q17" s="227"/>
      <x:c r="R17" s="227"/>
      <x:c r="S17" s="227"/>
      <x:c r="T17" s="227"/>
      <x:c r="U17" s="227"/>
      <x:c r="V17" s="227"/>
      <x:c r="W17" s="227"/>
      <x:c r="X17" s="227"/>
      <x:c r="Y17" s="227"/>
      <x:c r="Z17" s="227"/>
    </x:row>
    <x:row r="18">
      <x:c r="A18" s="227" t="str">
        <x:v>Manufacturing cash paid</x:v>
      </x:c>
      <x:c r="B18" s="302" t="n">
        <x:v>-6250</x:v>
      </x:c>
      <x:c r="C18" s="302" t="n">
        <x:v>-18750</x:v>
      </x:c>
      <x:c r="D18" s="227" t="n">
        <x:v>0</x:v>
      </x:c>
      <x:c r="E18" s="227"/>
      <x:c r="F18" s="227"/>
      <x:c r="G18" s="227"/>
      <x:c r="H18" s="227"/>
      <x:c r="I18" s="227"/>
      <x:c r="J18" s="227"/>
      <x:c r="K18" s="227"/>
      <x:c r="L18" s="227"/>
      <x:c r="M18" s="227"/>
      <x:c r="N18" s="227"/>
      <x:c r="O18" s="227"/>
      <x:c r="P18" s="227"/>
      <x:c r="Q18" s="227"/>
      <x:c r="R18" s="227"/>
      <x:c r="S18" s="227"/>
      <x:c r="T18" s="227"/>
      <x:c r="U18" s="227"/>
      <x:c r="V18" s="227"/>
      <x:c r="W18" s="227"/>
      <x:c r="X18" s="227"/>
      <x:c r="Y18" s="227"/>
      <x:c r="Z18" s="227"/>
    </x:row>
    <x:row r="19">
      <x:c r="A19" s="227" t="str">
        <x:v>Payment processing cash</x:v>
      </x:c>
      <x:c r="B19" s="302" t="n">
        <x:v>-1800</x:v>
      </x:c>
      <x:c r="C19" s="302" t="n">
        <x:v>0</x:v>
      </x:c>
      <x:c r="D19" s="227" t="n">
        <x:v>-1800</x:v>
      </x:c>
      <x:c r="E19" s="227"/>
      <x:c r="F19" s="227"/>
      <x:c r="G19" s="227"/>
      <x:c r="H19" s="227"/>
      <x:c r="I19" s="227"/>
      <x:c r="J19" s="227"/>
      <x:c r="K19" s="227"/>
      <x:c r="L19" s="227"/>
      <x:c r="M19" s="227"/>
      <x:c r="N19" s="227"/>
      <x:c r="O19" s="227"/>
      <x:c r="P19" s="227"/>
      <x:c r="Q19" s="227"/>
      <x:c r="R19" s="227"/>
      <x:c r="S19" s="227"/>
      <x:c r="T19" s="227"/>
      <x:c r="U19" s="227"/>
      <x:c r="V19" s="227"/>
      <x:c r="W19" s="227"/>
      <x:c r="X19" s="227"/>
      <x:c r="Y19" s="227"/>
      <x:c r="Z19" s="227"/>
    </x:row>
    <x:row r="20">
      <x:c r="A20" s="227" t="str">
        <x:v>Club share cash</x:v>
      </x:c>
      <x:c r="B20" s="302" t="n">
        <x:v>0</x:v>
      </x:c>
      <x:c r="C20" s="302" t="n">
        <x:v>0</x:v>
      </x:c>
      <x:c r="D20" s="227" t="n">
        <x:v>-80000</x:v>
      </x:c>
      <x:c r="E20" s="227"/>
      <x:c r="F20" s="227"/>
      <x:c r="G20" s="227"/>
      <x:c r="H20" s="227"/>
      <x:c r="I20" s="227"/>
      <x:c r="J20" s="227"/>
      <x:c r="K20" s="227"/>
      <x:c r="L20" s="227"/>
      <x:c r="M20" s="227"/>
      <x:c r="N20" s="227"/>
      <x:c r="O20" s="227"/>
      <x:c r="P20" s="227"/>
      <x:c r="Q20" s="227"/>
      <x:c r="R20" s="227"/>
      <x:c r="S20" s="227"/>
      <x:c r="T20" s="227"/>
      <x:c r="U20" s="227"/>
      <x:c r="V20" s="227"/>
      <x:c r="W20" s="227"/>
      <x:c r="X20" s="227"/>
      <x:c r="Y20" s="227"/>
      <x:c r="Z20" s="227"/>
    </x:row>
    <x:row r="21">
      <x:c r="A21" s="227" t="str">
        <x:v>Logistics cash</x:v>
      </x:c>
      <x:c r="B21" s="302" t="n">
        <x:v>0</x:v>
      </x:c>
      <x:c r="C21" s="302" t="n">
        <x:v>0</x:v>
      </x:c>
      <x:c r="D21" s="227" t="str">
        <x:v>€14,000 paid 60 days after delivery</x:v>
      </x:c>
      <x:c r="E21" s="227"/>
      <x:c r="F21" s="227"/>
      <x:c r="G21" s="227"/>
      <x:c r="H21" s="227"/>
      <x:c r="I21" s="227"/>
      <x:c r="J21" s="227"/>
      <x:c r="K21" s="227"/>
      <x:c r="L21" s="227"/>
      <x:c r="M21" s="227"/>
      <x:c r="N21" s="227"/>
      <x:c r="O21" s="227"/>
      <x:c r="P21" s="227"/>
      <x:c r="Q21" s="227"/>
      <x:c r="R21" s="227"/>
      <x:c r="S21" s="227"/>
      <x:c r="T21" s="227"/>
      <x:c r="U21" s="227"/>
      <x:c r="V21" s="227"/>
      <x:c r="W21" s="227"/>
      <x:c r="X21" s="227"/>
      <x:c r="Y21" s="227"/>
      <x:c r="Z21" s="227"/>
    </x:row>
    <x:row r="22">
      <x:c r="A22" s="227" t="str">
        <x:v>Net pre-delivery funding</x:v>
      </x:c>
      <x:c r="B22" s="302" t="n">
        <x:v>91950</x:v>
      </x:c>
      <x:c r="C22" s="302" t="n">
        <x:v>73200</x:v>
      </x:c>
      <x:c r="D22" s="227" t="str">
        <x:v>Working-capital benefit before delivery</x:v>
      </x:c>
      <x:c r="E22" s="227"/>
      <x:c r="F22" s="227"/>
      <x:c r="G22" s="227"/>
      <x:c r="H22" s="227"/>
      <x:c r="I22" s="227"/>
      <x:c r="J22" s="227"/>
      <x:c r="K22" s="227"/>
      <x:c r="L22" s="227"/>
      <x:c r="M22" s="227"/>
      <x:c r="N22" s="227"/>
      <x:c r="O22" s="227"/>
      <x:c r="P22" s="227"/>
      <x:c r="Q22" s="227"/>
      <x:c r="R22" s="227"/>
      <x:c r="S22" s="227"/>
      <x:c r="T22" s="227"/>
      <x:c r="U22" s="227"/>
      <x:c r="V22" s="227"/>
      <x:c r="W22" s="227"/>
      <x:c r="X22" s="227"/>
      <x:c r="Y22" s="227"/>
      <x:c r="Z22" s="227"/>
    </x:row>
    <x:row r="23">
      <x:c r="A23" s="227"/>
      <x:c r="B23" s="227"/>
      <x:c r="C23" s="227"/>
      <x:c r="D23" s="227"/>
      <x:c r="E23" s="227"/>
      <x:c r="F23" s="227"/>
      <x:c r="G23" s="227"/>
      <x:c r="H23" s="227"/>
      <x:c r="I23" s="227"/>
      <x:c r="J23" s="227"/>
      <x:c r="K23" s="227"/>
      <x:c r="L23" s="227"/>
      <x:c r="M23" s="227"/>
      <x:c r="N23" s="227"/>
      <x:c r="O23" s="227"/>
      <x:c r="P23" s="227"/>
      <x:c r="Q23" s="227"/>
      <x:c r="R23" s="227"/>
      <x:c r="S23" s="227"/>
      <x:c r="T23" s="227"/>
      <x:c r="U23" s="227"/>
      <x:c r="V23" s="227"/>
      <x:c r="W23" s="227"/>
      <x:c r="X23" s="227"/>
      <x:c r="Y23" s="227"/>
      <x:c r="Z23" s="227"/>
    </x:row>
    <x:row r="24">
      <x:c r="A24" s="300" t="str">
        <x:v>21-month programme</x:v>
      </x:c>
      <x:c r="B24" s="300" t="str">
        <x:v>Orders initiated</x:v>
      </x:c>
      <x:c r="C24" s="300" t="str">
        <x:v>Campaigns delivered</x:v>
      </x:c>
      <x:c r="D24" s="300" t="str">
        <x:v>Financial effect</x:v>
      </x:c>
      <x:c r="E24" s="227"/>
      <x:c r="F24" s="227"/>
      <x:c r="G24" s="227"/>
      <x:c r="H24" s="227"/>
      <x:c r="I24" s="227"/>
      <x:c r="J24" s="227"/>
      <x:c r="K24" s="227"/>
      <x:c r="L24" s="227"/>
      <x:c r="M24" s="227"/>
      <x:c r="N24" s="227"/>
      <x:c r="O24" s="227"/>
      <x:c r="P24" s="227"/>
      <x:c r="Q24" s="227"/>
      <x:c r="R24" s="227"/>
      <x:c r="S24" s="227"/>
      <x:c r="T24" s="227"/>
      <x:c r="U24" s="227"/>
      <x:c r="V24" s="227"/>
      <x:c r="W24" s="227"/>
      <x:c r="X24" s="227"/>
      <x:c r="Y24" s="227"/>
      <x:c r="Z24" s="227"/>
    </x:row>
    <x:row r="25">
      <x:c r="A25" s="227" t="str">
        <x:v>Programme frequency</x:v>
      </x:c>
      <x:c r="B25" s="227" t="n">
        <x:v>6</x:v>
      </x:c>
      <x:c r="C25" s="227" t="n">
        <x:v>5</x:v>
      </x:c>
      <x:c r="D25" s="227" t="str">
        <x:v>First order Dec-26; then every 3 months</x:v>
      </x:c>
      <x:c r="E25" s="227"/>
      <x:c r="F25" s="227"/>
      <x:c r="G25" s="227"/>
      <x:c r="H25" s="227"/>
      <x:c r="I25" s="227"/>
      <x:c r="J25" s="227"/>
      <x:c r="K25" s="227"/>
      <x:c r="L25" s="227"/>
      <x:c r="M25" s="227"/>
      <x:c r="N25" s="227"/>
      <x:c r="O25" s="227"/>
      <x:c r="P25" s="227"/>
      <x:c r="Q25" s="227"/>
      <x:c r="R25" s="227"/>
      <x:c r="S25" s="227"/>
      <x:c r="T25" s="227"/>
      <x:c r="U25" s="227"/>
      <x:c r="V25" s="227"/>
      <x:c r="W25" s="227"/>
      <x:c r="X25" s="227"/>
      <x:c r="Y25" s="227"/>
      <x:c r="Z25" s="227"/>
    </x:row>
    <x:row r="26">
      <x:c r="A26" s="227" t="str">
        <x:v>Gross billings recognised</x:v>
      </x:c>
      <x:c r="B26" s="227"/>
      <x:c r="C26" s="227"/>
      <x:c r="D26" s="302" t="n">
        <x:v>1000000</x:v>
      </x:c>
      <x:c r="E26" s="227"/>
      <x:c r="F26" s="227"/>
      <x:c r="G26" s="227"/>
      <x:c r="H26" s="227"/>
      <x:c r="I26" s="227"/>
      <x:c r="J26" s="227"/>
      <x:c r="K26" s="227"/>
      <x:c r="L26" s="227"/>
      <x:c r="M26" s="227"/>
      <x:c r="N26" s="227"/>
      <x:c r="O26" s="227"/>
      <x:c r="P26" s="227"/>
      <x:c r="Q26" s="227"/>
      <x:c r="R26" s="227"/>
      <x:c r="S26" s="227"/>
      <x:c r="T26" s="227"/>
      <x:c r="U26" s="227"/>
      <x:c r="V26" s="227"/>
      <x:c r="W26" s="227"/>
      <x:c r="X26" s="227"/>
      <x:c r="Y26" s="227"/>
      <x:c r="Z26" s="227"/>
    </x:row>
    <x:row r="27">
      <x:c r="A27" s="227" t="str">
        <x:v>P&amp;L contribution</x:v>
      </x:c>
      <x:c r="B27" s="227"/>
      <x:c r="C27" s="227"/>
      <x:c r="D27" s="302" t="n">
        <x:v>387000</x:v>
      </x:c>
      <x:c r="E27" s="227"/>
      <x:c r="F27" s="227"/>
      <x:c r="G27" s="227"/>
      <x:c r="H27" s="227"/>
      <x:c r="I27" s="227"/>
      <x:c r="J27" s="227"/>
      <x:c r="K27" s="227"/>
      <x:c r="L27" s="227"/>
      <x:c r="M27" s="227"/>
      <x:c r="N27" s="227"/>
      <x:c r="O27" s="227"/>
      <x:c r="P27" s="227"/>
      <x:c r="Q27" s="227"/>
      <x:c r="R27" s="227"/>
      <x:c r="S27" s="227"/>
      <x:c r="T27" s="227"/>
      <x:c r="U27" s="227"/>
      <x:c r="V27" s="227"/>
      <x:c r="W27" s="227"/>
      <x:c r="X27" s="227"/>
      <x:c r="Y27" s="227"/>
      <x:c r="Z27" s="227"/>
    </x:row>
    <x:row r="28">
      <x:c r="A28" s="227" t="str">
        <x:v>Net cash contribution through Apr-28</x:v>
      </x:c>
      <x:c r="B28" s="227"/>
      <x:c r="C28" s="227"/>
      <x:c r="D28" s="302" t="n">
        <x:v>460200</x:v>
      </x:c>
      <x:c r="E28" s="227"/>
      <x:c r="F28" s="227"/>
      <x:c r="G28" s="227"/>
      <x:c r="H28" s="227"/>
      <x:c r="I28" s="227"/>
      <x:c r="J28" s="227"/>
      <x:c r="K28" s="227"/>
      <x:c r="L28" s="227"/>
      <x:c r="M28" s="227"/>
      <x:c r="N28" s="227"/>
      <x:c r="O28" s="227"/>
      <x:c r="P28" s="227"/>
      <x:c r="Q28" s="227"/>
      <x:c r="R28" s="227"/>
      <x:c r="S28" s="227"/>
      <x:c r="T28" s="227"/>
      <x:c r="U28" s="227"/>
      <x:c r="V28" s="227"/>
      <x:c r="W28" s="227"/>
      <x:c r="X28" s="227"/>
      <x:c r="Y28" s="227"/>
      <x:c r="Z28" s="227"/>
    </x:row>
    <x:row r="29">
      <x:c r="A29" s="227"/>
      <x:c r="B29" s="227"/>
      <x:c r="C29" s="227"/>
      <x:c r="D29" s="227"/>
      <x:c r="E29" s="227"/>
      <x:c r="F29" s="227"/>
      <x:c r="G29" s="227"/>
      <x:c r="H29" s="227"/>
      <x:c r="I29" s="227"/>
      <x:c r="J29" s="227"/>
      <x:c r="K29" s="227"/>
      <x:c r="L29" s="227"/>
      <x:c r="M29" s="227"/>
      <x:c r="N29" s="227"/>
      <x:c r="O29" s="227"/>
      <x:c r="P29" s="227"/>
      <x:c r="Q29" s="227"/>
      <x:c r="R29" s="227"/>
      <x:c r="S29" s="227"/>
      <x:c r="T29" s="227"/>
      <x:c r="U29" s="227"/>
      <x:c r="V29" s="227"/>
      <x:c r="W29" s="227"/>
      <x:c r="X29" s="227"/>
      <x:c r="Y29" s="227"/>
      <x:c r="Z29" s="227"/>
    </x:row>
    <x:row r="30">
      <x:c r="A30" s="294" t="str">
        <x:v>Due-diligence treatment: this line is a management forecast and must be backed by a signed club order, member pre-sale process and the relevant licence/rights documentation before being described as contracted revenue. The 40% club share replaces the normal 15% venue share for this product line.</x:v>
      </x:c>
      <x:c r="B30" s="294"/>
      <x:c r="C30" s="294"/>
      <x:c r="D30" s="294"/>
      <x:c r="E30" s="294"/>
      <x:c r="F30" s="294"/>
      <x:c r="G30" s="294"/>
      <x:c r="H30" s="294"/>
      <x:c r="I30" s="227"/>
      <x:c r="J30" s="227"/>
      <x:c r="K30" s="227"/>
      <x:c r="L30" s="227"/>
      <x:c r="M30" s="227"/>
      <x:c r="N30" s="227"/>
      <x:c r="O30" s="227"/>
      <x:c r="P30" s="227"/>
      <x:c r="Q30" s="227"/>
      <x:c r="R30" s="227"/>
      <x:c r="S30" s="227"/>
      <x:c r="T30" s="227"/>
      <x:c r="U30" s="227"/>
      <x:c r="V30" s="227"/>
      <x:c r="W30" s="227"/>
      <x:c r="X30" s="227"/>
      <x:c r="Y30" s="227"/>
      <x:c r="Z30" s="227"/>
    </x:row>
    <x:row r="31">
      <x:c r="A31" s="294"/>
      <x:c r="B31" s="294"/>
      <x:c r="C31" s="294"/>
      <x:c r="D31" s="294"/>
      <x:c r="E31" s="294"/>
      <x:c r="F31" s="294"/>
      <x:c r="G31" s="294"/>
      <x:c r="H31" s="294"/>
      <x:c r="I31" s="227"/>
      <x:c r="J31" s="227"/>
      <x:c r="K31" s="227"/>
      <x:c r="L31" s="227"/>
      <x:c r="M31" s="227"/>
      <x:c r="N31" s="227"/>
      <x:c r="O31" s="227"/>
      <x:c r="P31" s="227"/>
      <x:c r="Q31" s="227"/>
      <x:c r="R31" s="227"/>
      <x:c r="S31" s="227"/>
      <x:c r="T31" s="227"/>
      <x:c r="U31" s="227"/>
      <x:c r="V31" s="227"/>
      <x:c r="W31" s="227"/>
      <x:c r="X31" s="227"/>
      <x:c r="Y31" s="227"/>
      <x:c r="Z31" s="227"/>
    </x:row>
    <x:row r="32">
      <x:c r="A32" s="294"/>
      <x:c r="B32" s="294"/>
      <x:c r="C32" s="294"/>
      <x:c r="D32" s="294"/>
      <x:c r="E32" s="294"/>
      <x:c r="F32" s="294"/>
      <x:c r="G32" s="294"/>
      <x:c r="H32" s="294"/>
      <x:c r="I32" s="227"/>
      <x:c r="J32" s="227"/>
      <x:c r="K32" s="227"/>
      <x:c r="L32" s="227"/>
      <x:c r="M32" s="227"/>
      <x:c r="N32" s="227"/>
      <x:c r="O32" s="227"/>
      <x:c r="P32" s="227"/>
      <x:c r="Q32" s="227"/>
      <x:c r="R32" s="227"/>
      <x:c r="S32" s="227"/>
      <x:c r="T32" s="227"/>
      <x:c r="U32" s="227"/>
      <x:c r="V32" s="227"/>
      <x:c r="W32" s="227"/>
      <x:c r="X32" s="227"/>
      <x:c r="Y32" s="227"/>
      <x:c r="Z32" s="227"/>
    </x:row>
    <x:row r="33">
      <x:c r="A33" s="294"/>
      <x:c r="B33" s="294"/>
      <x:c r="C33" s="294"/>
      <x:c r="D33" s="294"/>
      <x:c r="E33" s="294"/>
      <x:c r="F33" s="294"/>
      <x:c r="G33" s="294"/>
      <x:c r="H33" s="294"/>
      <x:c r="I33" s="227"/>
      <x:c r="J33" s="227"/>
      <x:c r="K33" s="227"/>
      <x:c r="L33" s="227"/>
      <x:c r="M33" s="227"/>
      <x:c r="N33" s="227"/>
      <x:c r="O33" s="227"/>
      <x:c r="P33" s="227"/>
      <x:c r="Q33" s="227"/>
      <x:c r="R33" s="227"/>
      <x:c r="S33" s="227"/>
      <x:c r="T33" s="227"/>
      <x:c r="U33" s="227"/>
      <x:c r="V33" s="227"/>
      <x:c r="W33" s="227"/>
      <x:c r="X33" s="227"/>
      <x:c r="Y33" s="227"/>
      <x:c r="Z33" s="227"/>
    </x:row>
    <x:row r="34">
      <x:c r="A34" s="227"/>
      <x:c r="B34" s="227"/>
      <x:c r="C34" s="227"/>
      <x:c r="D34" s="227"/>
      <x:c r="E34" s="227"/>
      <x:c r="F34" s="227"/>
      <x:c r="G34" s="227"/>
      <x:c r="H34" s="227"/>
      <x:c r="I34" s="227"/>
      <x:c r="J34" s="227"/>
      <x:c r="K34" s="227"/>
      <x:c r="L34" s="227"/>
      <x:c r="M34" s="227"/>
      <x:c r="N34" s="227"/>
      <x:c r="O34" s="227"/>
      <x:c r="P34" s="227"/>
      <x:c r="Q34" s="227"/>
      <x:c r="R34" s="227"/>
      <x:c r="S34" s="227"/>
      <x:c r="T34" s="227"/>
      <x:c r="U34" s="227"/>
      <x:c r="V34" s="227"/>
      <x:c r="W34" s="227"/>
      <x:c r="X34" s="227"/>
      <x:c r="Y34" s="227"/>
      <x:c r="Z34" s="227"/>
    </x:row>
    <x:row r="35">
      <x:c r="A35" s="227"/>
      <x:c r="B35" s="227"/>
      <x:c r="C35" s="227"/>
      <x:c r="D35" s="227"/>
      <x:c r="E35" s="227"/>
      <x:c r="F35" s="227"/>
      <x:c r="G35" s="227"/>
      <x:c r="H35" s="227"/>
      <x:c r="I35" s="227"/>
      <x:c r="J35" s="227"/>
      <x:c r="K35" s="227"/>
      <x:c r="L35" s="227"/>
      <x:c r="M35" s="227"/>
      <x:c r="N35" s="227"/>
      <x:c r="O35" s="227"/>
      <x:c r="P35" s="227"/>
      <x:c r="Q35" s="227"/>
      <x:c r="R35" s="227"/>
      <x:c r="S35" s="227"/>
      <x:c r="T35" s="227"/>
      <x:c r="U35" s="227"/>
      <x:c r="V35" s="227"/>
      <x:c r="W35" s="227"/>
      <x:c r="X35" s="227"/>
      <x:c r="Y35" s="227"/>
      <x:c r="Z35" s="227"/>
    </x:row>
    <x:row r="36">
      <x:c r="A36" s="227"/>
      <x:c r="B36" s="227"/>
      <x:c r="C36" s="227"/>
      <x:c r="D36" s="227"/>
      <x:c r="E36" s="227"/>
      <x:c r="F36" s="227"/>
      <x:c r="G36" s="227"/>
      <x:c r="H36" s="227"/>
      <x:c r="I36" s="227"/>
      <x:c r="J36" s="227"/>
      <x:c r="K36" s="227"/>
      <x:c r="L36" s="227"/>
      <x:c r="M36" s="227"/>
      <x:c r="N36" s="227"/>
      <x:c r="O36" s="227"/>
      <x:c r="P36" s="227"/>
      <x:c r="Q36" s="227"/>
      <x:c r="R36" s="227"/>
      <x:c r="S36" s="227"/>
      <x:c r="T36" s="227"/>
      <x:c r="U36" s="227"/>
      <x:c r="V36" s="227"/>
      <x:c r="W36" s="227"/>
      <x:c r="X36" s="227"/>
      <x:c r="Y36" s="227"/>
      <x:c r="Z36" s="227"/>
    </x:row>
    <x:row r="37">
      <x:c r="A37" s="227"/>
      <x:c r="B37" s="227"/>
      <x:c r="C37" s="227"/>
      <x:c r="D37" s="227"/>
      <x:c r="E37" s="227"/>
      <x:c r="F37" s="227"/>
      <x:c r="G37" s="227"/>
      <x:c r="H37" s="227"/>
      <x:c r="I37" s="227"/>
      <x:c r="J37" s="227"/>
      <x:c r="K37" s="227"/>
      <x:c r="L37" s="227"/>
      <x:c r="M37" s="227"/>
      <x:c r="N37" s="227"/>
      <x:c r="O37" s="227"/>
      <x:c r="P37" s="227"/>
      <x:c r="Q37" s="227"/>
      <x:c r="R37" s="227"/>
      <x:c r="S37" s="227"/>
      <x:c r="T37" s="227"/>
      <x:c r="U37" s="227"/>
      <x:c r="V37" s="227"/>
      <x:c r="W37" s="227"/>
      <x:c r="X37" s="227"/>
      <x:c r="Y37" s="227"/>
      <x:c r="Z37" s="227"/>
    </x:row>
    <x:row r="38">
      <x:c r="A38" s="227"/>
      <x:c r="B38" s="227"/>
      <x:c r="C38" s="227"/>
      <x:c r="D38" s="227"/>
      <x:c r="E38" s="227"/>
      <x:c r="F38" s="227"/>
      <x:c r="G38" s="227"/>
      <x:c r="H38" s="227"/>
      <x:c r="I38" s="227"/>
      <x:c r="J38" s="227"/>
      <x:c r="K38" s="227"/>
      <x:c r="L38" s="227"/>
      <x:c r="M38" s="227"/>
      <x:c r="N38" s="227"/>
      <x:c r="O38" s="227"/>
      <x:c r="P38" s="227"/>
      <x:c r="Q38" s="227"/>
      <x:c r="R38" s="227"/>
      <x:c r="S38" s="227"/>
      <x:c r="T38" s="227"/>
      <x:c r="U38" s="227"/>
      <x:c r="V38" s="227"/>
      <x:c r="W38" s="227"/>
      <x:c r="X38" s="227"/>
      <x:c r="Y38" s="227"/>
      <x:c r="Z38" s="227"/>
    </x:row>
    <x:row r="39">
      <x:c r="A39" s="227"/>
      <x:c r="B39" s="227"/>
      <x:c r="C39" s="227"/>
      <x:c r="D39" s="227"/>
      <x:c r="E39" s="227"/>
      <x:c r="F39" s="227"/>
      <x:c r="G39" s="227"/>
      <x:c r="H39" s="227"/>
      <x:c r="I39" s="227"/>
      <x:c r="J39" s="227"/>
      <x:c r="K39" s="227"/>
      <x:c r="L39" s="227"/>
      <x:c r="M39" s="227"/>
      <x:c r="N39" s="227"/>
      <x:c r="O39" s="227"/>
      <x:c r="P39" s="227"/>
      <x:c r="Q39" s="227"/>
      <x:c r="R39" s="227"/>
      <x:c r="S39" s="227"/>
      <x:c r="T39" s="227"/>
      <x:c r="U39" s="227"/>
      <x:c r="V39" s="227"/>
      <x:c r="W39" s="227"/>
      <x:c r="X39" s="227"/>
      <x:c r="Y39" s="227"/>
      <x:c r="Z39" s="227"/>
    </x:row>
    <x:row r="40">
      <x:c r="A40" s="227"/>
      <x:c r="B40" s="227"/>
      <x:c r="C40" s="227"/>
      <x:c r="D40" s="227"/>
      <x:c r="E40" s="227"/>
      <x:c r="F40" s="227"/>
      <x:c r="G40" s="227"/>
      <x:c r="H40" s="227"/>
      <x:c r="I40" s="227"/>
      <x:c r="J40" s="227"/>
      <x:c r="K40" s="227"/>
      <x:c r="L40" s="227"/>
      <x:c r="M40" s="227"/>
      <x:c r="N40" s="227"/>
      <x:c r="O40" s="227"/>
      <x:c r="P40" s="227"/>
      <x:c r="Q40" s="227"/>
      <x:c r="R40" s="227"/>
      <x:c r="S40" s="227"/>
      <x:c r="T40" s="227"/>
      <x:c r="U40" s="227"/>
      <x:c r="V40" s="227"/>
      <x:c r="W40" s="227"/>
      <x:c r="X40" s="227"/>
      <x:c r="Y40" s="227"/>
      <x:c r="Z40" s="227"/>
    </x:row>
    <x:row r="41">
      <x:c r="A41" s="227"/>
      <x:c r="B41" s="227"/>
      <x:c r="C41" s="227"/>
      <x:c r="D41" s="227"/>
      <x:c r="E41" s="227"/>
      <x:c r="F41" s="227"/>
      <x:c r="G41" s="227"/>
      <x:c r="H41" s="227"/>
      <x:c r="I41" s="227"/>
      <x:c r="J41" s="227"/>
      <x:c r="K41" s="227"/>
      <x:c r="L41" s="227"/>
      <x:c r="M41" s="227"/>
      <x:c r="N41" s="227"/>
      <x:c r="O41" s="227"/>
      <x:c r="P41" s="227"/>
      <x:c r="Q41" s="227"/>
      <x:c r="R41" s="227"/>
      <x:c r="S41" s="227"/>
      <x:c r="T41" s="227"/>
      <x:c r="U41" s="227"/>
      <x:c r="V41" s="227"/>
      <x:c r="W41" s="227"/>
      <x:c r="X41" s="227"/>
      <x:c r="Y41" s="227"/>
      <x:c r="Z41" s="227"/>
    </x:row>
    <x:row r="42">
      <x:c r="A42" s="227"/>
      <x:c r="B42" s="227"/>
      <x:c r="C42" s="227"/>
      <x:c r="D42" s="227"/>
      <x:c r="E42" s="227"/>
      <x:c r="F42" s="227"/>
      <x:c r="G42" s="227"/>
      <x:c r="H42" s="227"/>
      <x:c r="I42" s="227"/>
      <x:c r="J42" s="227"/>
      <x:c r="K42" s="227"/>
      <x:c r="L42" s="227"/>
      <x:c r="M42" s="227"/>
      <x:c r="N42" s="227"/>
      <x:c r="O42" s="227"/>
      <x:c r="P42" s="227"/>
      <x:c r="Q42" s="227"/>
      <x:c r="R42" s="227"/>
      <x:c r="S42" s="227"/>
      <x:c r="T42" s="227"/>
      <x:c r="U42" s="227"/>
      <x:c r="V42" s="227"/>
      <x:c r="W42" s="227"/>
      <x:c r="X42" s="227"/>
      <x:c r="Y42" s="227"/>
      <x:c r="Z42" s="227"/>
    </x:row>
    <x:row r="43">
      <x:c r="A43" s="227"/>
      <x:c r="B43" s="227"/>
      <x:c r="C43" s="227"/>
      <x:c r="D43" s="227"/>
      <x:c r="E43" s="227"/>
      <x:c r="F43" s="227"/>
      <x:c r="G43" s="227"/>
      <x:c r="H43" s="227"/>
      <x:c r="I43" s="227"/>
      <x:c r="J43" s="227"/>
      <x:c r="K43" s="227"/>
      <x:c r="L43" s="227"/>
      <x:c r="M43" s="227"/>
      <x:c r="N43" s="227"/>
      <x:c r="O43" s="227"/>
      <x:c r="P43" s="227"/>
      <x:c r="Q43" s="227"/>
      <x:c r="R43" s="227"/>
      <x:c r="S43" s="227"/>
      <x:c r="T43" s="227"/>
      <x:c r="U43" s="227"/>
      <x:c r="V43" s="227"/>
      <x:c r="W43" s="227"/>
      <x:c r="X43" s="227"/>
      <x:c r="Y43" s="227"/>
      <x:c r="Z43" s="227"/>
    </x:row>
    <x:row r="44">
      <x:c r="A44" s="227"/>
      <x:c r="B44" s="227"/>
      <x:c r="C44" s="227"/>
      <x:c r="D44" s="227"/>
      <x:c r="E44" s="227"/>
      <x:c r="F44" s="227"/>
      <x:c r="G44" s="227"/>
      <x:c r="H44" s="227"/>
      <x:c r="I44" s="227"/>
      <x:c r="J44" s="227"/>
      <x:c r="K44" s="227"/>
      <x:c r="L44" s="227"/>
      <x:c r="M44" s="227"/>
      <x:c r="N44" s="227"/>
      <x:c r="O44" s="227"/>
      <x:c r="P44" s="227"/>
      <x:c r="Q44" s="227"/>
      <x:c r="R44" s="227"/>
      <x:c r="S44" s="227"/>
      <x:c r="T44" s="227"/>
      <x:c r="U44" s="227"/>
      <x:c r="V44" s="227"/>
      <x:c r="W44" s="227"/>
      <x:c r="X44" s="227"/>
      <x:c r="Y44" s="227"/>
      <x:c r="Z44" s="227"/>
    </x:row>
    <x:row r="45">
      <x:c r="A45" s="227"/>
      <x:c r="B45" s="227"/>
      <x:c r="C45" s="227"/>
      <x:c r="D45" s="227"/>
      <x:c r="E45" s="227"/>
      <x:c r="F45" s="227"/>
      <x:c r="G45" s="227"/>
      <x:c r="H45" s="227"/>
      <x:c r="I45" s="227"/>
      <x:c r="J45" s="227"/>
      <x:c r="K45" s="227"/>
      <x:c r="L45" s="227"/>
      <x:c r="M45" s="227"/>
      <x:c r="N45" s="227"/>
      <x:c r="O45" s="227"/>
      <x:c r="P45" s="227"/>
      <x:c r="Q45" s="227"/>
      <x:c r="R45" s="227"/>
      <x:c r="S45" s="227"/>
      <x:c r="T45" s="227"/>
      <x:c r="U45" s="227"/>
      <x:c r="V45" s="227"/>
      <x:c r="W45" s="227"/>
      <x:c r="X45" s="227"/>
      <x:c r="Y45" s="227"/>
      <x:c r="Z45" s="227"/>
    </x:row>
    <x:row r="46">
      <x:c r="A46" s="227"/>
      <x:c r="B46" s="227"/>
      <x:c r="C46" s="227"/>
      <x:c r="D46" s="227"/>
      <x:c r="E46" s="227"/>
      <x:c r="F46" s="227"/>
      <x:c r="G46" s="227"/>
      <x:c r="H46" s="227"/>
      <x:c r="I46" s="227"/>
      <x:c r="J46" s="227"/>
      <x:c r="K46" s="227"/>
      <x:c r="L46" s="227"/>
      <x:c r="M46" s="227"/>
      <x:c r="N46" s="227"/>
      <x:c r="O46" s="227"/>
      <x:c r="P46" s="227"/>
      <x:c r="Q46" s="227"/>
      <x:c r="R46" s="227"/>
      <x:c r="S46" s="227"/>
      <x:c r="T46" s="227"/>
      <x:c r="U46" s="227"/>
      <x:c r="V46" s="227"/>
      <x:c r="W46" s="227"/>
      <x:c r="X46" s="227"/>
      <x:c r="Y46" s="227"/>
      <x:c r="Z46" s="227"/>
    </x:row>
    <x:row r="47">
      <x:c r="A47" s="227"/>
      <x:c r="B47" s="227"/>
      <x:c r="C47" s="227"/>
      <x:c r="D47" s="227"/>
      <x:c r="E47" s="227"/>
      <x:c r="F47" s="227"/>
      <x:c r="G47" s="227"/>
      <x:c r="H47" s="227"/>
      <x:c r="I47" s="227"/>
      <x:c r="J47" s="227"/>
      <x:c r="K47" s="227"/>
      <x:c r="L47" s="227"/>
      <x:c r="M47" s="227"/>
      <x:c r="N47" s="227"/>
      <x:c r="O47" s="227"/>
      <x:c r="P47" s="227"/>
      <x:c r="Q47" s="227"/>
      <x:c r="R47" s="227"/>
      <x:c r="S47" s="227"/>
      <x:c r="T47" s="227"/>
      <x:c r="U47" s="227"/>
      <x:c r="V47" s="227"/>
      <x:c r="W47" s="227"/>
      <x:c r="X47" s="227"/>
      <x:c r="Y47" s="227"/>
      <x:c r="Z47" s="227"/>
    </x:row>
    <x:row r="48">
      <x:c r="A48" s="227"/>
      <x:c r="B48" s="227"/>
      <x:c r="C48" s="227"/>
      <x:c r="D48" s="227"/>
      <x:c r="E48" s="227"/>
      <x:c r="F48" s="227"/>
      <x:c r="G48" s="227"/>
      <x:c r="H48" s="227"/>
      <x:c r="I48" s="227"/>
      <x:c r="J48" s="227"/>
      <x:c r="K48" s="227"/>
      <x:c r="L48" s="227"/>
      <x:c r="M48" s="227"/>
      <x:c r="N48" s="227"/>
      <x:c r="O48" s="227"/>
      <x:c r="P48" s="227"/>
      <x:c r="Q48" s="227"/>
      <x:c r="R48" s="227"/>
      <x:c r="S48" s="227"/>
      <x:c r="T48" s="227"/>
      <x:c r="U48" s="227"/>
      <x:c r="V48" s="227"/>
      <x:c r="W48" s="227"/>
      <x:c r="X48" s="227"/>
      <x:c r="Y48" s="227"/>
      <x:c r="Z48" s="227"/>
    </x:row>
    <x:row r="49">
      <x:c r="A49" s="227"/>
      <x:c r="B49" s="227"/>
      <x:c r="C49" s="227"/>
      <x:c r="D49" s="227"/>
      <x:c r="E49" s="227"/>
      <x:c r="F49" s="227"/>
      <x:c r="G49" s="227"/>
      <x:c r="H49" s="227"/>
      <x:c r="I49" s="227"/>
      <x:c r="J49" s="227"/>
      <x:c r="K49" s="227"/>
      <x:c r="L49" s="227"/>
      <x:c r="M49" s="227"/>
      <x:c r="N49" s="227"/>
      <x:c r="O49" s="227"/>
      <x:c r="P49" s="227"/>
      <x:c r="Q49" s="227"/>
      <x:c r="R49" s="227"/>
      <x:c r="S49" s="227"/>
      <x:c r="T49" s="227"/>
      <x:c r="U49" s="227"/>
      <x:c r="V49" s="227"/>
      <x:c r="W49" s="227"/>
      <x:c r="X49" s="227"/>
      <x:c r="Y49" s="227"/>
      <x:c r="Z49" s="227"/>
    </x:row>
    <x:row r="50">
      <x:c r="A50" s="227"/>
      <x:c r="B50" s="227"/>
      <x:c r="C50" s="227"/>
      <x:c r="D50" s="227"/>
      <x:c r="E50" s="227"/>
      <x:c r="F50" s="227"/>
      <x:c r="G50" s="227"/>
      <x:c r="H50" s="227"/>
      <x:c r="I50" s="227"/>
      <x:c r="J50" s="227"/>
      <x:c r="K50" s="227"/>
      <x:c r="L50" s="227"/>
      <x:c r="M50" s="227"/>
      <x:c r="N50" s="227"/>
      <x:c r="O50" s="227"/>
      <x:c r="P50" s="227"/>
      <x:c r="Q50" s="227"/>
      <x:c r="R50" s="227"/>
      <x:c r="S50" s="227"/>
      <x:c r="T50" s="227"/>
      <x:c r="U50" s="227"/>
      <x:c r="V50" s="227"/>
      <x:c r="W50" s="227"/>
      <x:c r="X50" s="227"/>
      <x:c r="Y50" s="227"/>
      <x:c r="Z50" s="227"/>
    </x:row>
    <x:row r="51">
      <x:c r="A51" s="227"/>
      <x:c r="B51" s="227"/>
      <x:c r="C51" s="227"/>
      <x:c r="D51" s="227"/>
      <x:c r="E51" s="227"/>
      <x:c r="F51" s="227"/>
      <x:c r="G51" s="227"/>
      <x:c r="H51" s="227"/>
      <x:c r="I51" s="227"/>
      <x:c r="J51" s="227"/>
      <x:c r="K51" s="227"/>
      <x:c r="L51" s="227"/>
      <x:c r="M51" s="227"/>
      <x:c r="N51" s="227"/>
      <x:c r="O51" s="227"/>
      <x:c r="P51" s="227"/>
      <x:c r="Q51" s="227"/>
      <x:c r="R51" s="227"/>
      <x:c r="S51" s="227"/>
      <x:c r="T51" s="227"/>
      <x:c r="U51" s="227"/>
      <x:c r="V51" s="227"/>
      <x:c r="W51" s="227"/>
      <x:c r="X51" s="227"/>
      <x:c r="Y51" s="227"/>
      <x:c r="Z51" s="227"/>
    </x:row>
    <x:row r="52">
      <x:c r="A52" s="227"/>
      <x:c r="B52" s="227"/>
      <x:c r="C52" s="227"/>
      <x:c r="D52" s="227"/>
      <x:c r="E52" s="227"/>
      <x:c r="F52" s="227"/>
      <x:c r="G52" s="227"/>
      <x:c r="H52" s="227"/>
      <x:c r="I52" s="227"/>
      <x:c r="J52" s="227"/>
      <x:c r="K52" s="227"/>
      <x:c r="L52" s="227"/>
      <x:c r="M52" s="227"/>
      <x:c r="N52" s="227"/>
      <x:c r="O52" s="227"/>
      <x:c r="P52" s="227"/>
      <x:c r="Q52" s="227"/>
      <x:c r="R52" s="227"/>
      <x:c r="S52" s="227"/>
      <x:c r="T52" s="227"/>
      <x:c r="U52" s="227"/>
      <x:c r="V52" s="227"/>
      <x:c r="W52" s="227"/>
      <x:c r="X52" s="227"/>
      <x:c r="Y52" s="227"/>
      <x:c r="Z52" s="227"/>
    </x:row>
    <x:row r="53">
      <x:c r="A53" s="227"/>
      <x:c r="B53" s="227"/>
      <x:c r="C53" s="227"/>
      <x:c r="D53" s="227"/>
      <x:c r="E53" s="227"/>
      <x:c r="F53" s="227"/>
      <x:c r="G53" s="227"/>
      <x:c r="H53" s="227"/>
      <x:c r="I53" s="227"/>
      <x:c r="J53" s="227"/>
      <x:c r="K53" s="227"/>
      <x:c r="L53" s="227"/>
      <x:c r="M53" s="227"/>
      <x:c r="N53" s="227"/>
      <x:c r="O53" s="227"/>
      <x:c r="P53" s="227"/>
      <x:c r="Q53" s="227"/>
      <x:c r="R53" s="227"/>
      <x:c r="S53" s="227"/>
      <x:c r="T53" s="227"/>
      <x:c r="U53" s="227"/>
      <x:c r="V53" s="227"/>
      <x:c r="W53" s="227"/>
      <x:c r="X53" s="227"/>
      <x:c r="Y53" s="227"/>
      <x:c r="Z53" s="227"/>
    </x:row>
    <x:row r="54">
      <x:c r="A54" s="227"/>
      <x:c r="B54" s="227"/>
      <x:c r="C54" s="227"/>
      <x:c r="D54" s="227"/>
      <x:c r="E54" s="227"/>
      <x:c r="F54" s="227"/>
      <x:c r="G54" s="227"/>
      <x:c r="H54" s="227"/>
      <x:c r="I54" s="227"/>
      <x:c r="J54" s="227"/>
      <x:c r="K54" s="227"/>
      <x:c r="L54" s="227"/>
      <x:c r="M54" s="227"/>
      <x:c r="N54" s="227"/>
      <x:c r="O54" s="227"/>
      <x:c r="P54" s="227"/>
      <x:c r="Q54" s="227"/>
      <x:c r="R54" s="227"/>
      <x:c r="S54" s="227"/>
      <x:c r="T54" s="227"/>
      <x:c r="U54" s="227"/>
      <x:c r="V54" s="227"/>
      <x:c r="W54" s="227"/>
      <x:c r="X54" s="227"/>
      <x:c r="Y54" s="227"/>
      <x:c r="Z54" s="227"/>
    </x:row>
    <x:row r="55">
      <x:c r="A55" s="227"/>
      <x:c r="B55" s="227"/>
      <x:c r="C55" s="227"/>
      <x:c r="D55" s="227"/>
      <x:c r="E55" s="227"/>
      <x:c r="F55" s="227"/>
      <x:c r="G55" s="227"/>
      <x:c r="H55" s="227"/>
      <x:c r="I55" s="227"/>
      <x:c r="J55" s="227"/>
      <x:c r="K55" s="227"/>
      <x:c r="L55" s="227"/>
      <x:c r="M55" s="227"/>
      <x:c r="N55" s="227"/>
      <x:c r="O55" s="227"/>
      <x:c r="P55" s="227"/>
      <x:c r="Q55" s="227"/>
      <x:c r="R55" s="227"/>
      <x:c r="S55" s="227"/>
      <x:c r="T55" s="227"/>
      <x:c r="U55" s="227"/>
      <x:c r="V55" s="227"/>
      <x:c r="W55" s="227"/>
      <x:c r="X55" s="227"/>
      <x:c r="Y55" s="227"/>
      <x:c r="Z55" s="227"/>
    </x:row>
    <x:row r="56">
      <x:c r="A56" s="227"/>
      <x:c r="B56" s="227"/>
      <x:c r="C56" s="227"/>
      <x:c r="D56" s="227"/>
      <x:c r="E56" s="227"/>
      <x:c r="F56" s="227"/>
      <x:c r="G56" s="227"/>
      <x:c r="H56" s="227"/>
      <x:c r="I56" s="227"/>
      <x:c r="J56" s="227"/>
      <x:c r="K56" s="227"/>
      <x:c r="L56" s="227"/>
      <x:c r="M56" s="227"/>
      <x:c r="N56" s="227"/>
      <x:c r="O56" s="227"/>
      <x:c r="P56" s="227"/>
      <x:c r="Q56" s="227"/>
      <x:c r="R56" s="227"/>
      <x:c r="S56" s="227"/>
      <x:c r="T56" s="227"/>
      <x:c r="U56" s="227"/>
      <x:c r="V56" s="227"/>
      <x:c r="W56" s="227"/>
      <x:c r="X56" s="227"/>
      <x:c r="Y56" s="227"/>
      <x:c r="Z56" s="227"/>
    </x:row>
    <x:row r="57">
      <x:c r="A57" s="227"/>
      <x:c r="B57" s="227"/>
      <x:c r="C57" s="227"/>
      <x:c r="D57" s="227"/>
      <x:c r="E57" s="227"/>
      <x:c r="F57" s="227"/>
      <x:c r="G57" s="227"/>
      <x:c r="H57" s="227"/>
      <x:c r="I57" s="227"/>
      <x:c r="J57" s="227"/>
      <x:c r="K57" s="227"/>
      <x:c r="L57" s="227"/>
      <x:c r="M57" s="227"/>
      <x:c r="N57" s="227"/>
      <x:c r="O57" s="227"/>
      <x:c r="P57" s="227"/>
      <x:c r="Q57" s="227"/>
      <x:c r="R57" s="227"/>
      <x:c r="S57" s="227"/>
      <x:c r="T57" s="227"/>
      <x:c r="U57" s="227"/>
      <x:c r="V57" s="227"/>
      <x:c r="W57" s="227"/>
      <x:c r="X57" s="227"/>
      <x:c r="Y57" s="227"/>
      <x:c r="Z57" s="227"/>
    </x:row>
    <x:row r="58">
      <x:c r="A58" s="227"/>
      <x:c r="B58" s="227"/>
      <x:c r="C58" s="227"/>
      <x:c r="D58" s="227"/>
      <x:c r="E58" s="227"/>
      <x:c r="F58" s="227"/>
      <x:c r="G58" s="227"/>
      <x:c r="H58" s="227"/>
      <x:c r="I58" s="227"/>
      <x:c r="J58" s="227"/>
      <x:c r="K58" s="227"/>
      <x:c r="L58" s="227"/>
      <x:c r="M58" s="227"/>
      <x:c r="N58" s="227"/>
      <x:c r="O58" s="227"/>
      <x:c r="P58" s="227"/>
      <x:c r="Q58" s="227"/>
      <x:c r="R58" s="227"/>
      <x:c r="S58" s="227"/>
      <x:c r="T58" s="227"/>
      <x:c r="U58" s="227"/>
      <x:c r="V58" s="227"/>
      <x:c r="W58" s="227"/>
      <x:c r="X58" s="227"/>
      <x:c r="Y58" s="227"/>
      <x:c r="Z58" s="227"/>
    </x:row>
    <x:row r="59">
      <x:c r="A59" s="227"/>
      <x:c r="B59" s="227"/>
      <x:c r="C59" s="227"/>
      <x:c r="D59" s="227"/>
      <x:c r="E59" s="227"/>
      <x:c r="F59" s="227"/>
      <x:c r="G59" s="227"/>
      <x:c r="H59" s="227"/>
      <x:c r="I59" s="227"/>
      <x:c r="J59" s="227"/>
      <x:c r="K59" s="227"/>
      <x:c r="L59" s="227"/>
      <x:c r="M59" s="227"/>
      <x:c r="N59" s="227"/>
      <x:c r="O59" s="227"/>
      <x:c r="P59" s="227"/>
      <x:c r="Q59" s="227"/>
      <x:c r="R59" s="227"/>
      <x:c r="S59" s="227"/>
      <x:c r="T59" s="227"/>
      <x:c r="U59" s="227"/>
      <x:c r="V59" s="227"/>
      <x:c r="W59" s="227"/>
      <x:c r="X59" s="227"/>
      <x:c r="Y59" s="227"/>
      <x:c r="Z59" s="227"/>
    </x:row>
    <x:row r="60">
      <x:c r="A60" s="227"/>
      <x:c r="B60" s="227"/>
      <x:c r="C60" s="227"/>
      <x:c r="D60" s="227"/>
      <x:c r="E60" s="227"/>
      <x:c r="F60" s="227"/>
      <x:c r="G60" s="227"/>
      <x:c r="H60" s="227"/>
      <x:c r="I60" s="227"/>
      <x:c r="J60" s="227"/>
      <x:c r="K60" s="227"/>
      <x:c r="L60" s="227"/>
      <x:c r="M60" s="227"/>
      <x:c r="N60" s="227"/>
      <x:c r="O60" s="227"/>
      <x:c r="P60" s="227"/>
      <x:c r="Q60" s="227"/>
      <x:c r="R60" s="227"/>
      <x:c r="S60" s="227"/>
      <x:c r="T60" s="227"/>
      <x:c r="U60" s="227"/>
      <x:c r="V60" s="227"/>
      <x:c r="W60" s="227"/>
      <x:c r="X60" s="227"/>
      <x:c r="Y60" s="227"/>
      <x:c r="Z60" s="227"/>
    </x:row>
    <x:row r="61">
      <x:c r="A61" s="227"/>
      <x:c r="B61" s="227"/>
      <x:c r="C61" s="227"/>
      <x:c r="D61" s="227"/>
      <x:c r="E61" s="227"/>
      <x:c r="F61" s="227"/>
      <x:c r="G61" s="227"/>
      <x:c r="H61" s="227"/>
      <x:c r="I61" s="227"/>
      <x:c r="J61" s="227"/>
      <x:c r="K61" s="227"/>
      <x:c r="L61" s="227"/>
      <x:c r="M61" s="227"/>
      <x:c r="N61" s="227"/>
      <x:c r="O61" s="227"/>
      <x:c r="P61" s="227"/>
      <x:c r="Q61" s="227"/>
      <x:c r="R61" s="227"/>
      <x:c r="S61" s="227"/>
      <x:c r="T61" s="227"/>
      <x:c r="U61" s="227"/>
      <x:c r="V61" s="227"/>
      <x:c r="W61" s="227"/>
      <x:c r="X61" s="227"/>
      <x:c r="Y61" s="227"/>
      <x:c r="Z61" s="227"/>
    </x:row>
    <x:row r="62">
      <x:c r="A62" s="227"/>
      <x:c r="B62" s="227"/>
      <x:c r="C62" s="227"/>
      <x:c r="D62" s="227"/>
      <x:c r="E62" s="227"/>
      <x:c r="F62" s="227"/>
      <x:c r="G62" s="227"/>
      <x:c r="H62" s="227"/>
      <x:c r="I62" s="227"/>
      <x:c r="J62" s="227"/>
      <x:c r="K62" s="227"/>
      <x:c r="L62" s="227"/>
      <x:c r="M62" s="227"/>
      <x:c r="N62" s="227"/>
      <x:c r="O62" s="227"/>
      <x:c r="P62" s="227"/>
      <x:c r="Q62" s="227"/>
      <x:c r="R62" s="227"/>
      <x:c r="S62" s="227"/>
      <x:c r="T62" s="227"/>
      <x:c r="U62" s="227"/>
      <x:c r="V62" s="227"/>
      <x:c r="W62" s="227"/>
      <x:c r="X62" s="227"/>
      <x:c r="Y62" s="227"/>
      <x:c r="Z62" s="227"/>
    </x:row>
    <x:row r="63">
      <x:c r="A63" s="227"/>
      <x:c r="B63" s="227"/>
      <x:c r="C63" s="227"/>
      <x:c r="D63" s="227"/>
      <x:c r="E63" s="227"/>
      <x:c r="F63" s="227"/>
      <x:c r="G63" s="227"/>
      <x:c r="H63" s="227"/>
      <x:c r="I63" s="227"/>
      <x:c r="J63" s="227"/>
      <x:c r="K63" s="227"/>
      <x:c r="L63" s="227"/>
      <x:c r="M63" s="227"/>
      <x:c r="N63" s="227"/>
      <x:c r="O63" s="227"/>
      <x:c r="P63" s="227"/>
      <x:c r="Q63" s="227"/>
      <x:c r="R63" s="227"/>
      <x:c r="S63" s="227"/>
      <x:c r="T63" s="227"/>
      <x:c r="U63" s="227"/>
      <x:c r="V63" s="227"/>
      <x:c r="W63" s="227"/>
      <x:c r="X63" s="227"/>
      <x:c r="Y63" s="227"/>
      <x:c r="Z63" s="227"/>
    </x:row>
    <x:row r="64">
      <x:c r="A64" s="227"/>
      <x:c r="B64" s="227"/>
      <x:c r="C64" s="227"/>
      <x:c r="D64" s="227"/>
      <x:c r="E64" s="227"/>
      <x:c r="F64" s="227"/>
      <x:c r="G64" s="227"/>
      <x:c r="H64" s="227"/>
      <x:c r="I64" s="227"/>
      <x:c r="J64" s="227"/>
      <x:c r="K64" s="227"/>
      <x:c r="L64" s="227"/>
      <x:c r="M64" s="227"/>
      <x:c r="N64" s="227"/>
      <x:c r="O64" s="227"/>
      <x:c r="P64" s="227"/>
      <x:c r="Q64" s="227"/>
      <x:c r="R64" s="227"/>
      <x:c r="S64" s="227"/>
      <x:c r="T64" s="227"/>
      <x:c r="U64" s="227"/>
      <x:c r="V64" s="227"/>
      <x:c r="W64" s="227"/>
      <x:c r="X64" s="227"/>
      <x:c r="Y64" s="227"/>
      <x:c r="Z64" s="227"/>
    </x:row>
    <x:row r="65">
      <x:c r="A65" s="227"/>
      <x:c r="B65" s="227"/>
      <x:c r="C65" s="227"/>
      <x:c r="D65" s="227"/>
      <x:c r="E65" s="227"/>
      <x:c r="F65" s="227"/>
      <x:c r="G65" s="227"/>
      <x:c r="H65" s="227"/>
      <x:c r="I65" s="227"/>
      <x:c r="J65" s="227"/>
      <x:c r="K65" s="227"/>
      <x:c r="L65" s="227"/>
      <x:c r="M65" s="227"/>
      <x:c r="N65" s="227"/>
      <x:c r="O65" s="227"/>
      <x:c r="P65" s="227"/>
      <x:c r="Q65" s="227"/>
      <x:c r="R65" s="227"/>
      <x:c r="S65" s="227"/>
      <x:c r="T65" s="227"/>
      <x:c r="U65" s="227"/>
      <x:c r="V65" s="227"/>
      <x:c r="W65" s="227"/>
      <x:c r="X65" s="227"/>
      <x:c r="Y65" s="227"/>
      <x:c r="Z65" s="227"/>
    </x:row>
    <x:row r="66">
      <x:c r="A66" s="227"/>
      <x:c r="B66" s="227"/>
      <x:c r="C66" s="227"/>
      <x:c r="D66" s="227"/>
      <x:c r="E66" s="227"/>
      <x:c r="F66" s="227"/>
      <x:c r="G66" s="227"/>
      <x:c r="H66" s="227"/>
      <x:c r="I66" s="227"/>
      <x:c r="J66" s="227"/>
      <x:c r="K66" s="227"/>
      <x:c r="L66" s="227"/>
      <x:c r="M66" s="227"/>
      <x:c r="N66" s="227"/>
      <x:c r="O66" s="227"/>
      <x:c r="P66" s="227"/>
      <x:c r="Q66" s="227"/>
      <x:c r="R66" s="227"/>
      <x:c r="S66" s="227"/>
      <x:c r="T66" s="227"/>
      <x:c r="U66" s="227"/>
      <x:c r="V66" s="227"/>
      <x:c r="W66" s="227"/>
      <x:c r="X66" s="227"/>
      <x:c r="Y66" s="227"/>
      <x:c r="Z66" s="227"/>
    </x:row>
    <x:row r="67">
      <x:c r="A67" s="227"/>
      <x:c r="B67" s="227"/>
      <x:c r="C67" s="227"/>
      <x:c r="D67" s="227"/>
      <x:c r="E67" s="227"/>
      <x:c r="F67" s="227"/>
      <x:c r="G67" s="227"/>
      <x:c r="H67" s="227"/>
      <x:c r="I67" s="227"/>
      <x:c r="J67" s="227"/>
      <x:c r="K67" s="227"/>
      <x:c r="L67" s="227"/>
      <x:c r="M67" s="227"/>
      <x:c r="N67" s="227"/>
      <x:c r="O67" s="227"/>
      <x:c r="P67" s="227"/>
      <x:c r="Q67" s="227"/>
      <x:c r="R67" s="227"/>
      <x:c r="S67" s="227"/>
      <x:c r="T67" s="227"/>
      <x:c r="U67" s="227"/>
      <x:c r="V67" s="227"/>
      <x:c r="W67" s="227"/>
      <x:c r="X67" s="227"/>
      <x:c r="Y67" s="227"/>
      <x:c r="Z67" s="227"/>
    </x:row>
    <x:row r="68">
      <x:c r="A68" s="227"/>
      <x:c r="B68" s="227"/>
      <x:c r="C68" s="227"/>
      <x:c r="D68" s="227"/>
      <x:c r="E68" s="227"/>
      <x:c r="F68" s="227"/>
      <x:c r="G68" s="227"/>
      <x:c r="H68" s="227"/>
      <x:c r="I68" s="227"/>
      <x:c r="J68" s="227"/>
      <x:c r="K68" s="227"/>
      <x:c r="L68" s="227"/>
      <x:c r="M68" s="227"/>
      <x:c r="N68" s="227"/>
      <x:c r="O68" s="227"/>
      <x:c r="P68" s="227"/>
      <x:c r="Q68" s="227"/>
      <x:c r="R68" s="227"/>
      <x:c r="S68" s="227"/>
      <x:c r="T68" s="227"/>
      <x:c r="U68" s="227"/>
      <x:c r="V68" s="227"/>
      <x:c r="W68" s="227"/>
      <x:c r="X68" s="227"/>
      <x:c r="Y68" s="227"/>
      <x:c r="Z68" s="227"/>
    </x:row>
    <x:row r="69">
      <x:c r="A69" s="227"/>
      <x:c r="B69" s="227"/>
      <x:c r="C69" s="227"/>
      <x:c r="D69" s="227"/>
      <x:c r="E69" s="227"/>
      <x:c r="F69" s="227"/>
      <x:c r="G69" s="227"/>
      <x:c r="H69" s="227"/>
      <x:c r="I69" s="227"/>
      <x:c r="J69" s="227"/>
      <x:c r="K69" s="227"/>
      <x:c r="L69" s="227"/>
      <x:c r="M69" s="227"/>
      <x:c r="N69" s="227"/>
      <x:c r="O69" s="227"/>
      <x:c r="P69" s="227"/>
      <x:c r="Q69" s="227"/>
      <x:c r="R69" s="227"/>
      <x:c r="S69" s="227"/>
      <x:c r="T69" s="227"/>
      <x:c r="U69" s="227"/>
      <x:c r="V69" s="227"/>
      <x:c r="W69" s="227"/>
      <x:c r="X69" s="227"/>
      <x:c r="Y69" s="227"/>
      <x:c r="Z69" s="227"/>
    </x:row>
    <x:row r="70">
      <x:c r="A70" s="227"/>
      <x:c r="B70" s="227"/>
      <x:c r="C70" s="227"/>
      <x:c r="D70" s="227"/>
      <x:c r="E70" s="227"/>
      <x:c r="F70" s="227"/>
      <x:c r="G70" s="227"/>
      <x:c r="H70" s="227"/>
      <x:c r="I70" s="227"/>
      <x:c r="J70" s="227"/>
      <x:c r="K70" s="227"/>
      <x:c r="L70" s="227"/>
      <x:c r="M70" s="227"/>
      <x:c r="N70" s="227"/>
      <x:c r="O70" s="227"/>
      <x:c r="P70" s="227"/>
      <x:c r="Q70" s="227"/>
      <x:c r="R70" s="227"/>
      <x:c r="S70" s="227"/>
      <x:c r="T70" s="227"/>
      <x:c r="U70" s="227"/>
      <x:c r="V70" s="227"/>
      <x:c r="W70" s="227"/>
      <x:c r="X70" s="227"/>
      <x:c r="Y70" s="227"/>
      <x:c r="Z70" s="227"/>
    </x:row>
    <x:row r="71">
      <x:c r="A71" s="227"/>
      <x:c r="B71" s="227"/>
      <x:c r="C71" s="227"/>
      <x:c r="D71" s="227"/>
      <x:c r="E71" s="227"/>
      <x:c r="F71" s="227"/>
      <x:c r="G71" s="227"/>
      <x:c r="H71" s="227"/>
      <x:c r="I71" s="227"/>
      <x:c r="J71" s="227"/>
      <x:c r="K71" s="227"/>
      <x:c r="L71" s="227"/>
      <x:c r="M71" s="227"/>
      <x:c r="N71" s="227"/>
      <x:c r="O71" s="227"/>
      <x:c r="P71" s="227"/>
      <x:c r="Q71" s="227"/>
      <x:c r="R71" s="227"/>
      <x:c r="S71" s="227"/>
      <x:c r="T71" s="227"/>
      <x:c r="U71" s="227"/>
      <x:c r="V71" s="227"/>
      <x:c r="W71" s="227"/>
      <x:c r="X71" s="227"/>
      <x:c r="Y71" s="227"/>
      <x:c r="Z71" s="227"/>
    </x:row>
    <x:row r="72">
      <x:c r="A72" s="227"/>
      <x:c r="B72" s="227"/>
      <x:c r="C72" s="227"/>
      <x:c r="D72" s="227"/>
      <x:c r="E72" s="227"/>
      <x:c r="F72" s="227"/>
      <x:c r="G72" s="227"/>
      <x:c r="H72" s="227"/>
      <x:c r="I72" s="227"/>
      <x:c r="J72" s="227"/>
      <x:c r="K72" s="227"/>
      <x:c r="L72" s="227"/>
      <x:c r="M72" s="227"/>
      <x:c r="N72" s="227"/>
      <x:c r="O72" s="227"/>
      <x:c r="P72" s="227"/>
      <x:c r="Q72" s="227"/>
      <x:c r="R72" s="227"/>
      <x:c r="S72" s="227"/>
      <x:c r="T72" s="227"/>
      <x:c r="U72" s="227"/>
      <x:c r="V72" s="227"/>
      <x:c r="W72" s="227"/>
      <x:c r="X72" s="227"/>
      <x:c r="Y72" s="227"/>
      <x:c r="Z72" s="227"/>
    </x:row>
    <x:row r="73">
      <x:c r="A73" s="227"/>
      <x:c r="B73" s="227"/>
      <x:c r="C73" s="227"/>
      <x:c r="D73" s="227"/>
      <x:c r="E73" s="227"/>
      <x:c r="F73" s="227"/>
      <x:c r="G73" s="227"/>
      <x:c r="H73" s="227"/>
      <x:c r="I73" s="227"/>
      <x:c r="J73" s="227"/>
      <x:c r="K73" s="227"/>
      <x:c r="L73" s="227"/>
      <x:c r="M73" s="227"/>
      <x:c r="N73" s="227"/>
      <x:c r="O73" s="227"/>
      <x:c r="P73" s="227"/>
      <x:c r="Q73" s="227"/>
      <x:c r="R73" s="227"/>
      <x:c r="S73" s="227"/>
      <x:c r="T73" s="227"/>
      <x:c r="U73" s="227"/>
      <x:c r="V73" s="227"/>
      <x:c r="W73" s="227"/>
      <x:c r="X73" s="227"/>
      <x:c r="Y73" s="227"/>
      <x:c r="Z73" s="227"/>
    </x:row>
    <x:row r="74">
      <x:c r="A74" s="227"/>
      <x:c r="B74" s="227"/>
      <x:c r="C74" s="227"/>
      <x:c r="D74" s="227"/>
      <x:c r="E74" s="227"/>
      <x:c r="F74" s="227"/>
      <x:c r="G74" s="227"/>
      <x:c r="H74" s="227"/>
      <x:c r="I74" s="227"/>
      <x:c r="J74" s="227"/>
      <x:c r="K74" s="227"/>
      <x:c r="L74" s="227"/>
      <x:c r="M74" s="227"/>
      <x:c r="N74" s="227"/>
      <x:c r="O74" s="227"/>
      <x:c r="P74" s="227"/>
      <x:c r="Q74" s="227"/>
      <x:c r="R74" s="227"/>
      <x:c r="S74" s="227"/>
      <x:c r="T74" s="227"/>
      <x:c r="U74" s="227"/>
      <x:c r="V74" s="227"/>
      <x:c r="W74" s="227"/>
      <x:c r="X74" s="227"/>
      <x:c r="Y74" s="227"/>
      <x:c r="Z74" s="227"/>
    </x:row>
    <x:row r="75">
      <x:c r="A75" s="227"/>
      <x:c r="B75" s="227"/>
      <x:c r="C75" s="227"/>
      <x:c r="D75" s="227"/>
      <x:c r="E75" s="227"/>
      <x:c r="F75" s="227"/>
      <x:c r="G75" s="227"/>
      <x:c r="H75" s="227"/>
      <x:c r="I75" s="227"/>
      <x:c r="J75" s="227"/>
      <x:c r="K75" s="227"/>
      <x:c r="L75" s="227"/>
      <x:c r="M75" s="227"/>
      <x:c r="N75" s="227"/>
      <x:c r="O75" s="227"/>
      <x:c r="P75" s="227"/>
      <x:c r="Q75" s="227"/>
      <x:c r="R75" s="227"/>
      <x:c r="S75" s="227"/>
      <x:c r="T75" s="227"/>
      <x:c r="U75" s="227"/>
      <x:c r="V75" s="227"/>
      <x:c r="W75" s="227"/>
      <x:c r="X75" s="227"/>
      <x:c r="Y75" s="227"/>
      <x:c r="Z75" s="227"/>
    </x:row>
    <x:row r="76">
      <x:c r="A76" s="227"/>
      <x:c r="B76" s="227"/>
      <x:c r="C76" s="227"/>
      <x:c r="D76" s="227"/>
      <x:c r="E76" s="227"/>
      <x:c r="F76" s="227"/>
      <x:c r="G76" s="227"/>
      <x:c r="H76" s="227"/>
      <x:c r="I76" s="227"/>
      <x:c r="J76" s="227"/>
      <x:c r="K76" s="227"/>
      <x:c r="L76" s="227"/>
      <x:c r="M76" s="227"/>
      <x:c r="N76" s="227"/>
      <x:c r="O76" s="227"/>
      <x:c r="P76" s="227"/>
      <x:c r="Q76" s="227"/>
      <x:c r="R76" s="227"/>
      <x:c r="S76" s="227"/>
      <x:c r="T76" s="227"/>
      <x:c r="U76" s="227"/>
      <x:c r="V76" s="227"/>
      <x:c r="W76" s="227"/>
      <x:c r="X76" s="227"/>
      <x:c r="Y76" s="227"/>
      <x:c r="Z76" s="227"/>
    </x:row>
    <x:row r="77">
      <x:c r="A77" s="227"/>
      <x:c r="B77" s="227"/>
      <x:c r="C77" s="227"/>
      <x:c r="D77" s="227"/>
      <x:c r="E77" s="227"/>
      <x:c r="F77" s="227"/>
      <x:c r="G77" s="227"/>
      <x:c r="H77" s="227"/>
      <x:c r="I77" s="227"/>
      <x:c r="J77" s="227"/>
      <x:c r="K77" s="227"/>
      <x:c r="L77" s="227"/>
      <x:c r="M77" s="227"/>
      <x:c r="N77" s="227"/>
      <x:c r="O77" s="227"/>
      <x:c r="P77" s="227"/>
      <x:c r="Q77" s="227"/>
      <x:c r="R77" s="227"/>
      <x:c r="S77" s="227"/>
      <x:c r="T77" s="227"/>
      <x:c r="U77" s="227"/>
      <x:c r="V77" s="227"/>
      <x:c r="W77" s="227"/>
      <x:c r="X77" s="227"/>
      <x:c r="Y77" s="227"/>
      <x:c r="Z77" s="227"/>
    </x:row>
    <x:row r="78">
      <x:c r="A78" s="227"/>
      <x:c r="B78" s="227"/>
      <x:c r="C78" s="227"/>
      <x:c r="D78" s="227"/>
      <x:c r="E78" s="227"/>
      <x:c r="F78" s="227"/>
      <x:c r="G78" s="227"/>
      <x:c r="H78" s="227"/>
      <x:c r="I78" s="227"/>
      <x:c r="J78" s="227"/>
      <x:c r="K78" s="227"/>
      <x:c r="L78" s="227"/>
      <x:c r="M78" s="227"/>
      <x:c r="N78" s="227"/>
      <x:c r="O78" s="227"/>
      <x:c r="P78" s="227"/>
      <x:c r="Q78" s="227"/>
      <x:c r="R78" s="227"/>
      <x:c r="S78" s="227"/>
      <x:c r="T78" s="227"/>
      <x:c r="U78" s="227"/>
      <x:c r="V78" s="227"/>
      <x:c r="W78" s="227"/>
      <x:c r="X78" s="227"/>
      <x:c r="Y78" s="227"/>
      <x:c r="Z78" s="227"/>
    </x:row>
    <x:row r="79">
      <x:c r="A79" s="227"/>
      <x:c r="B79" s="227"/>
      <x:c r="C79" s="227"/>
      <x:c r="D79" s="227"/>
      <x:c r="E79" s="227"/>
      <x:c r="F79" s="227"/>
      <x:c r="G79" s="227"/>
      <x:c r="H79" s="227"/>
      <x:c r="I79" s="227"/>
      <x:c r="J79" s="227"/>
      <x:c r="K79" s="227"/>
      <x:c r="L79" s="227"/>
      <x:c r="M79" s="227"/>
      <x:c r="N79" s="227"/>
      <x:c r="O79" s="227"/>
      <x:c r="P79" s="227"/>
      <x:c r="Q79" s="227"/>
      <x:c r="R79" s="227"/>
      <x:c r="S79" s="227"/>
      <x:c r="T79" s="227"/>
      <x:c r="U79" s="227"/>
      <x:c r="V79" s="227"/>
      <x:c r="W79" s="227"/>
      <x:c r="X79" s="227"/>
      <x:c r="Y79" s="227"/>
      <x:c r="Z79" s="227"/>
    </x:row>
    <x:row r="80">
      <x:c r="A80" s="227"/>
      <x:c r="B80" s="227"/>
      <x:c r="C80" s="227"/>
      <x:c r="D80" s="227"/>
      <x:c r="E80" s="227"/>
      <x:c r="F80" s="227"/>
      <x:c r="G80" s="227"/>
      <x:c r="H80" s="227"/>
      <x:c r="I80" s="227"/>
      <x:c r="J80" s="227"/>
      <x:c r="K80" s="227"/>
      <x:c r="L80" s="227"/>
      <x:c r="M80" s="227"/>
      <x:c r="N80" s="227"/>
      <x:c r="O80" s="227"/>
      <x:c r="P80" s="227"/>
      <x:c r="Q80" s="227"/>
      <x:c r="R80" s="227"/>
      <x:c r="S80" s="227"/>
      <x:c r="T80" s="227"/>
      <x:c r="U80" s="227"/>
      <x:c r="V80" s="227"/>
      <x:c r="W80" s="227"/>
      <x:c r="X80" s="227"/>
      <x:c r="Y80" s="227"/>
      <x:c r="Z80" s="227"/>
    </x:row>
    <x:row r="81">
      <x:c r="A81" s="227"/>
      <x:c r="B81" s="227"/>
      <x:c r="C81" s="227"/>
      <x:c r="D81" s="227"/>
      <x:c r="E81" s="227"/>
      <x:c r="F81" s="227"/>
      <x:c r="G81" s="227"/>
      <x:c r="H81" s="227"/>
      <x:c r="I81" s="227"/>
      <x:c r="J81" s="227"/>
      <x:c r="K81" s="227"/>
      <x:c r="L81" s="227"/>
      <x:c r="M81" s="227"/>
      <x:c r="N81" s="227"/>
      <x:c r="O81" s="227"/>
      <x:c r="P81" s="227"/>
      <x:c r="Q81" s="227"/>
      <x:c r="R81" s="227"/>
      <x:c r="S81" s="227"/>
      <x:c r="T81" s="227"/>
      <x:c r="U81" s="227"/>
      <x:c r="V81" s="227"/>
      <x:c r="W81" s="227"/>
      <x:c r="X81" s="227"/>
      <x:c r="Y81" s="227"/>
      <x:c r="Z81" s="227"/>
    </x:row>
    <x:row r="82">
      <x:c r="A82" s="227"/>
      <x:c r="B82" s="227"/>
      <x:c r="C82" s="227"/>
      <x:c r="D82" s="227"/>
      <x:c r="E82" s="227"/>
      <x:c r="F82" s="227"/>
      <x:c r="G82" s="227"/>
      <x:c r="H82" s="227"/>
      <x:c r="I82" s="227"/>
      <x:c r="J82" s="227"/>
      <x:c r="K82" s="227"/>
      <x:c r="L82" s="227"/>
      <x:c r="M82" s="227"/>
      <x:c r="N82" s="227"/>
      <x:c r="O82" s="227"/>
      <x:c r="P82" s="227"/>
      <x:c r="Q82" s="227"/>
      <x:c r="R82" s="227"/>
      <x:c r="S82" s="227"/>
      <x:c r="T82" s="227"/>
      <x:c r="U82" s="227"/>
      <x:c r="V82" s="227"/>
      <x:c r="W82" s="227"/>
      <x:c r="X82" s="227"/>
      <x:c r="Y82" s="227"/>
      <x:c r="Z82" s="227"/>
    </x:row>
    <x:row r="83">
      <x:c r="A83" s="227"/>
      <x:c r="B83" s="227"/>
      <x:c r="C83" s="227"/>
      <x:c r="D83" s="227"/>
      <x:c r="E83" s="227"/>
      <x:c r="F83" s="227"/>
      <x:c r="G83" s="227"/>
      <x:c r="H83" s="227"/>
      <x:c r="I83" s="227"/>
      <x:c r="J83" s="227"/>
      <x:c r="K83" s="227"/>
      <x:c r="L83" s="227"/>
      <x:c r="M83" s="227"/>
      <x:c r="N83" s="227"/>
      <x:c r="O83" s="227"/>
      <x:c r="P83" s="227"/>
      <x:c r="Q83" s="227"/>
      <x:c r="R83" s="227"/>
      <x:c r="S83" s="227"/>
      <x:c r="T83" s="227"/>
      <x:c r="U83" s="227"/>
      <x:c r="V83" s="227"/>
      <x:c r="W83" s="227"/>
      <x:c r="X83" s="227"/>
      <x:c r="Y83" s="227"/>
      <x:c r="Z83" s="227"/>
    </x:row>
    <x:row r="84">
      <x:c r="A84" s="227"/>
      <x:c r="B84" s="227"/>
      <x:c r="C84" s="227"/>
      <x:c r="D84" s="227"/>
      <x:c r="E84" s="227"/>
      <x:c r="F84" s="227"/>
      <x:c r="G84" s="227"/>
      <x:c r="H84" s="227"/>
      <x:c r="I84" s="227"/>
      <x:c r="J84" s="227"/>
      <x:c r="K84" s="227"/>
      <x:c r="L84" s="227"/>
      <x:c r="M84" s="227"/>
      <x:c r="N84" s="227"/>
      <x:c r="O84" s="227"/>
      <x:c r="P84" s="227"/>
      <x:c r="Q84" s="227"/>
      <x:c r="R84" s="227"/>
      <x:c r="S84" s="227"/>
      <x:c r="T84" s="227"/>
      <x:c r="U84" s="227"/>
      <x:c r="V84" s="227"/>
      <x:c r="W84" s="227"/>
      <x:c r="X84" s="227"/>
      <x:c r="Y84" s="227"/>
      <x:c r="Z84" s="227"/>
    </x:row>
    <x:row r="85">
      <x:c r="A85" s="227"/>
      <x:c r="B85" s="227"/>
      <x:c r="C85" s="227"/>
      <x:c r="D85" s="227"/>
      <x:c r="E85" s="227"/>
      <x:c r="F85" s="227"/>
      <x:c r="G85" s="227"/>
      <x:c r="H85" s="227"/>
      <x:c r="I85" s="227"/>
      <x:c r="J85" s="227"/>
      <x:c r="K85" s="227"/>
      <x:c r="L85" s="227"/>
      <x:c r="M85" s="227"/>
      <x:c r="N85" s="227"/>
      <x:c r="O85" s="227"/>
      <x:c r="P85" s="227"/>
      <x:c r="Q85" s="227"/>
      <x:c r="R85" s="227"/>
      <x:c r="S85" s="227"/>
      <x:c r="T85" s="227"/>
      <x:c r="U85" s="227"/>
      <x:c r="V85" s="227"/>
      <x:c r="W85" s="227"/>
      <x:c r="X85" s="227"/>
      <x:c r="Y85" s="227"/>
      <x:c r="Z85" s="227"/>
    </x:row>
    <x:row r="86">
      <x:c r="A86" s="227"/>
      <x:c r="B86" s="227"/>
      <x:c r="C86" s="227"/>
      <x:c r="D86" s="227"/>
      <x:c r="E86" s="227"/>
      <x:c r="F86" s="227"/>
      <x:c r="G86" s="227"/>
      <x:c r="H86" s="227"/>
      <x:c r="I86" s="227"/>
      <x:c r="J86" s="227"/>
      <x:c r="K86" s="227"/>
      <x:c r="L86" s="227"/>
      <x:c r="M86" s="227"/>
      <x:c r="N86" s="227"/>
      <x:c r="O86" s="227"/>
      <x:c r="P86" s="227"/>
      <x:c r="Q86" s="227"/>
      <x:c r="R86" s="227"/>
      <x:c r="S86" s="227"/>
      <x:c r="T86" s="227"/>
      <x:c r="U86" s="227"/>
      <x:c r="V86" s="227"/>
      <x:c r="W86" s="227"/>
      <x:c r="X86" s="227"/>
      <x:c r="Y86" s="227"/>
      <x:c r="Z86" s="227"/>
    </x:row>
    <x:row r="87">
      <x:c r="A87" s="227"/>
      <x:c r="B87" s="227"/>
      <x:c r="C87" s="227"/>
      <x:c r="D87" s="227"/>
      <x:c r="E87" s="227"/>
      <x:c r="F87" s="227"/>
      <x:c r="G87" s="227"/>
      <x:c r="H87" s="227"/>
      <x:c r="I87" s="227"/>
      <x:c r="J87" s="227"/>
      <x:c r="K87" s="227"/>
      <x:c r="L87" s="227"/>
      <x:c r="M87" s="227"/>
      <x:c r="N87" s="227"/>
      <x:c r="O87" s="227"/>
      <x:c r="P87" s="227"/>
      <x:c r="Q87" s="227"/>
      <x:c r="R87" s="227"/>
      <x:c r="S87" s="227"/>
      <x:c r="T87" s="227"/>
      <x:c r="U87" s="227"/>
      <x:c r="V87" s="227"/>
      <x:c r="W87" s="227"/>
      <x:c r="X87" s="227"/>
      <x:c r="Y87" s="227"/>
      <x:c r="Z87" s="227"/>
    </x:row>
    <x:row r="88">
      <x:c r="A88" s="227"/>
      <x:c r="B88" s="227"/>
      <x:c r="C88" s="227"/>
      <x:c r="D88" s="227"/>
      <x:c r="E88" s="227"/>
      <x:c r="F88" s="227"/>
      <x:c r="G88" s="227"/>
      <x:c r="H88" s="227"/>
      <x:c r="I88" s="227"/>
      <x:c r="J88" s="227"/>
      <x:c r="K88" s="227"/>
      <x:c r="L88" s="227"/>
      <x:c r="M88" s="227"/>
      <x:c r="N88" s="227"/>
      <x:c r="O88" s="227"/>
      <x:c r="P88" s="227"/>
      <x:c r="Q88" s="227"/>
      <x:c r="R88" s="227"/>
      <x:c r="S88" s="227"/>
      <x:c r="T88" s="227"/>
      <x:c r="U88" s="227"/>
      <x:c r="V88" s="227"/>
      <x:c r="W88" s="227"/>
      <x:c r="X88" s="227"/>
      <x:c r="Y88" s="227"/>
      <x:c r="Z88" s="227"/>
    </x:row>
    <x:row r="89">
      <x:c r="A89" s="227"/>
      <x:c r="B89" s="227"/>
      <x:c r="C89" s="227"/>
      <x:c r="D89" s="227"/>
      <x:c r="E89" s="227"/>
      <x:c r="F89" s="227"/>
      <x:c r="G89" s="227"/>
      <x:c r="H89" s="227"/>
      <x:c r="I89" s="227"/>
      <x:c r="J89" s="227"/>
      <x:c r="K89" s="227"/>
      <x:c r="L89" s="227"/>
      <x:c r="M89" s="227"/>
      <x:c r="N89" s="227"/>
      <x:c r="O89" s="227"/>
      <x:c r="P89" s="227"/>
      <x:c r="Q89" s="227"/>
      <x:c r="R89" s="227"/>
      <x:c r="S89" s="227"/>
      <x:c r="T89" s="227"/>
      <x:c r="U89" s="227"/>
      <x:c r="V89" s="227"/>
      <x:c r="W89" s="227"/>
      <x:c r="X89" s="227"/>
      <x:c r="Y89" s="227"/>
      <x:c r="Z89" s="227"/>
    </x:row>
    <x:row r="90">
      <x:c r="A90" s="227"/>
      <x:c r="B90" s="227"/>
      <x:c r="C90" s="227"/>
      <x:c r="D90" s="227"/>
      <x:c r="E90" s="227"/>
      <x:c r="F90" s="227"/>
      <x:c r="G90" s="227"/>
      <x:c r="H90" s="227"/>
      <x:c r="I90" s="227"/>
      <x:c r="J90" s="227"/>
      <x:c r="K90" s="227"/>
      <x:c r="L90" s="227"/>
      <x:c r="M90" s="227"/>
      <x:c r="N90" s="227"/>
      <x:c r="O90" s="227"/>
      <x:c r="P90" s="227"/>
      <x:c r="Q90" s="227"/>
      <x:c r="R90" s="227"/>
      <x:c r="S90" s="227"/>
      <x:c r="T90" s="227"/>
      <x:c r="U90" s="227"/>
      <x:c r="V90" s="227"/>
      <x:c r="W90" s="227"/>
      <x:c r="X90" s="227"/>
      <x:c r="Y90" s="227"/>
      <x:c r="Z90" s="227"/>
    </x:row>
    <x:row r="91">
      <x:c r="A91" s="227"/>
      <x:c r="B91" s="227"/>
      <x:c r="C91" s="227"/>
      <x:c r="D91" s="227"/>
      <x:c r="E91" s="227"/>
      <x:c r="F91" s="227"/>
      <x:c r="G91" s="227"/>
      <x:c r="H91" s="227"/>
      <x:c r="I91" s="227"/>
      <x:c r="J91" s="227"/>
      <x:c r="K91" s="227"/>
      <x:c r="L91" s="227"/>
      <x:c r="M91" s="227"/>
      <x:c r="N91" s="227"/>
      <x:c r="O91" s="227"/>
      <x:c r="P91" s="227"/>
      <x:c r="Q91" s="227"/>
      <x:c r="R91" s="227"/>
      <x:c r="S91" s="227"/>
      <x:c r="T91" s="227"/>
      <x:c r="U91" s="227"/>
      <x:c r="V91" s="227"/>
      <x:c r="W91" s="227"/>
      <x:c r="X91" s="227"/>
      <x:c r="Y91" s="227"/>
      <x:c r="Z91" s="227"/>
    </x:row>
    <x:row r="92">
      <x:c r="A92" s="227"/>
      <x:c r="B92" s="227"/>
      <x:c r="C92" s="227"/>
      <x:c r="D92" s="227"/>
      <x:c r="E92" s="227"/>
      <x:c r="F92" s="227"/>
      <x:c r="G92" s="227"/>
      <x:c r="H92" s="227"/>
      <x:c r="I92" s="227"/>
      <x:c r="J92" s="227"/>
      <x:c r="K92" s="227"/>
      <x:c r="L92" s="227"/>
      <x:c r="M92" s="227"/>
      <x:c r="N92" s="227"/>
      <x:c r="O92" s="227"/>
      <x:c r="P92" s="227"/>
      <x:c r="Q92" s="227"/>
      <x:c r="R92" s="227"/>
      <x:c r="S92" s="227"/>
      <x:c r="T92" s="227"/>
      <x:c r="U92" s="227"/>
      <x:c r="V92" s="227"/>
      <x:c r="W92" s="227"/>
      <x:c r="X92" s="227"/>
      <x:c r="Y92" s="227"/>
      <x:c r="Z92" s="227"/>
    </x:row>
    <x:row r="93">
      <x:c r="A93" s="227"/>
      <x:c r="B93" s="227"/>
      <x:c r="C93" s="227"/>
      <x:c r="D93" s="227"/>
      <x:c r="E93" s="227"/>
      <x:c r="F93" s="227"/>
      <x:c r="G93" s="227"/>
      <x:c r="H93" s="227"/>
      <x:c r="I93" s="227"/>
      <x:c r="J93" s="227"/>
      <x:c r="K93" s="227"/>
      <x:c r="L93" s="227"/>
      <x:c r="M93" s="227"/>
      <x:c r="N93" s="227"/>
      <x:c r="O93" s="227"/>
      <x:c r="P93" s="227"/>
      <x:c r="Q93" s="227"/>
      <x:c r="R93" s="227"/>
      <x:c r="S93" s="227"/>
      <x:c r="T93" s="227"/>
      <x:c r="U93" s="227"/>
      <x:c r="V93" s="227"/>
      <x:c r="W93" s="227"/>
      <x:c r="X93" s="227"/>
      <x:c r="Y93" s="227"/>
      <x:c r="Z93" s="227"/>
    </x:row>
    <x:row r="94">
      <x:c r="A94" s="227"/>
      <x:c r="B94" s="227"/>
      <x:c r="C94" s="227"/>
      <x:c r="D94" s="227"/>
      <x:c r="E94" s="227"/>
      <x:c r="F94" s="227"/>
      <x:c r="G94" s="227"/>
      <x:c r="H94" s="227"/>
      <x:c r="I94" s="227"/>
      <x:c r="J94" s="227"/>
      <x:c r="K94" s="227"/>
      <x:c r="L94" s="227"/>
      <x:c r="M94" s="227"/>
      <x:c r="N94" s="227"/>
      <x:c r="O94" s="227"/>
      <x:c r="P94" s="227"/>
      <x:c r="Q94" s="227"/>
      <x:c r="R94" s="227"/>
      <x:c r="S94" s="227"/>
      <x:c r="T94" s="227"/>
      <x:c r="U94" s="227"/>
      <x:c r="V94" s="227"/>
      <x:c r="W94" s="227"/>
      <x:c r="X94" s="227"/>
      <x:c r="Y94" s="227"/>
      <x:c r="Z94" s="227"/>
    </x:row>
    <x:row r="95">
      <x:c r="A95" s="227"/>
      <x:c r="B95" s="227"/>
      <x:c r="C95" s="227"/>
      <x:c r="D95" s="227"/>
      <x:c r="E95" s="227"/>
      <x:c r="F95" s="227"/>
      <x:c r="G95" s="227"/>
      <x:c r="H95" s="227"/>
      <x:c r="I95" s="227"/>
      <x:c r="J95" s="227"/>
      <x:c r="K95" s="227"/>
      <x:c r="L95" s="227"/>
      <x:c r="M95" s="227"/>
      <x:c r="N95" s="227"/>
      <x:c r="O95" s="227"/>
      <x:c r="P95" s="227"/>
      <x:c r="Q95" s="227"/>
      <x:c r="R95" s="227"/>
      <x:c r="S95" s="227"/>
      <x:c r="T95" s="227"/>
      <x:c r="U95" s="227"/>
      <x:c r="V95" s="227"/>
      <x:c r="W95" s="227"/>
      <x:c r="X95" s="227"/>
      <x:c r="Y95" s="227"/>
      <x:c r="Z95" s="227"/>
    </x:row>
    <x:row r="96">
      <x:c r="A96" s="227"/>
      <x:c r="B96" s="227"/>
      <x:c r="C96" s="227"/>
      <x:c r="D96" s="227"/>
      <x:c r="E96" s="227"/>
      <x:c r="F96" s="227"/>
      <x:c r="G96" s="227"/>
      <x:c r="H96" s="227"/>
      <x:c r="I96" s="227"/>
      <x:c r="J96" s="227"/>
      <x:c r="K96" s="227"/>
      <x:c r="L96" s="227"/>
      <x:c r="M96" s="227"/>
      <x:c r="N96" s="227"/>
      <x:c r="O96" s="227"/>
      <x:c r="P96" s="227"/>
      <x:c r="Q96" s="227"/>
      <x:c r="R96" s="227"/>
      <x:c r="S96" s="227"/>
      <x:c r="T96" s="227"/>
      <x:c r="U96" s="227"/>
      <x:c r="V96" s="227"/>
      <x:c r="W96" s="227"/>
      <x:c r="X96" s="227"/>
      <x:c r="Y96" s="227"/>
      <x:c r="Z96" s="227"/>
    </x:row>
    <x:row r="97">
      <x:c r="A97" s="227"/>
      <x:c r="B97" s="227"/>
      <x:c r="C97" s="227"/>
      <x:c r="D97" s="227"/>
      <x:c r="E97" s="227"/>
      <x:c r="F97" s="227"/>
      <x:c r="G97" s="227"/>
      <x:c r="H97" s="227"/>
      <x:c r="I97" s="227"/>
      <x:c r="J97" s="227"/>
      <x:c r="K97" s="227"/>
      <x:c r="L97" s="227"/>
      <x:c r="M97" s="227"/>
      <x:c r="N97" s="227"/>
      <x:c r="O97" s="227"/>
      <x:c r="P97" s="227"/>
      <x:c r="Q97" s="227"/>
      <x:c r="R97" s="227"/>
      <x:c r="S97" s="227"/>
      <x:c r="T97" s="227"/>
      <x:c r="U97" s="227"/>
      <x:c r="V97" s="227"/>
      <x:c r="W97" s="227"/>
      <x:c r="X97" s="227"/>
      <x:c r="Y97" s="227"/>
      <x:c r="Z97" s="227"/>
    </x:row>
    <x:row r="98">
      <x:c r="A98" s="227"/>
      <x:c r="B98" s="227"/>
      <x:c r="C98" s="227"/>
      <x:c r="D98" s="227"/>
      <x:c r="E98" s="227"/>
      <x:c r="F98" s="227"/>
      <x:c r="G98" s="227"/>
      <x:c r="H98" s="227"/>
      <x:c r="I98" s="227"/>
      <x:c r="J98" s="227"/>
      <x:c r="K98" s="227"/>
      <x:c r="L98" s="227"/>
      <x:c r="M98" s="227"/>
      <x:c r="N98" s="227"/>
      <x:c r="O98" s="227"/>
      <x:c r="P98" s="227"/>
      <x:c r="Q98" s="227"/>
      <x:c r="R98" s="227"/>
      <x:c r="S98" s="227"/>
      <x:c r="T98" s="227"/>
      <x:c r="U98" s="227"/>
      <x:c r="V98" s="227"/>
      <x:c r="W98" s="227"/>
      <x:c r="X98" s="227"/>
      <x:c r="Y98" s="227"/>
      <x:c r="Z98" s="227"/>
    </x:row>
    <x:row r="99">
      <x:c r="A99" s="227"/>
      <x:c r="B99" s="227"/>
      <x:c r="C99" s="227"/>
      <x:c r="D99" s="227"/>
      <x:c r="E99" s="227"/>
      <x:c r="F99" s="227"/>
      <x:c r="G99" s="227"/>
      <x:c r="H99" s="227"/>
      <x:c r="I99" s="227"/>
      <x:c r="J99" s="227"/>
      <x:c r="K99" s="227"/>
      <x:c r="L99" s="227"/>
      <x:c r="M99" s="227"/>
      <x:c r="N99" s="227"/>
      <x:c r="O99" s="227"/>
      <x:c r="P99" s="227"/>
      <x:c r="Q99" s="227"/>
      <x:c r="R99" s="227"/>
      <x:c r="S99" s="227"/>
      <x:c r="T99" s="227"/>
      <x:c r="U99" s="227"/>
      <x:c r="V99" s="227"/>
      <x:c r="W99" s="227"/>
      <x:c r="X99" s="227"/>
      <x:c r="Y99" s="227"/>
      <x:c r="Z99" s="227"/>
    </x:row>
    <x:row r="100">
      <x:c r="A100" s="227"/>
      <x:c r="B100" s="227"/>
      <x:c r="C100" s="227"/>
      <x:c r="D100" s="227"/>
      <x:c r="E100" s="227"/>
      <x:c r="F100" s="227"/>
      <x:c r="G100" s="227"/>
      <x:c r="H100" s="227"/>
      <x:c r="I100" s="227"/>
      <x:c r="J100" s="227"/>
      <x:c r="K100" s="227"/>
      <x:c r="L100" s="227"/>
      <x:c r="M100" s="227"/>
      <x:c r="N100" s="227"/>
      <x:c r="O100" s="227"/>
      <x:c r="P100" s="227"/>
      <x:c r="Q100" s="227"/>
      <x:c r="R100" s="227"/>
      <x:c r="S100" s="227"/>
      <x:c r="T100" s="227"/>
      <x:c r="U100" s="227"/>
      <x:c r="V100" s="227"/>
      <x:c r="W100" s="227"/>
      <x:c r="X100" s="227"/>
      <x:c r="Y100" s="227"/>
      <x:c r="Z100" s="227"/>
    </x:row>
  </x:sheetData>
  <x:mergeCells>
    <x:mergeCell ref="A1:H1"/>
    <x:mergeCell ref="A2:H2"/>
    <x:mergeCell ref="A30:H33"/>
  </x:mergeCells>
  <x:pageMargins left="0.7" right="0.7" top="0.75" bottom="0.75" header="0.3" footer="0.3"/>
</x:worksheet>
</file>

<file path=xl/worksheets/sheet4.xml><?xml version="1.0" encoding="utf-8"?>
<x:worksheet xmlns:x="http://schemas.openxmlformats.org/spreadsheetml/2006/main">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s>
  <x:sheetData>
    <x:row r="1" ht="32" customHeight="1">
      <x:c r="A1" s="284" t="str">
        <x:v>REVENUE-GATED OPEX SCALE</x:v>
      </x:c>
      <x:c r="B1" s="284" t="str">
        <x:v>REVENUE-GATED OPEX SCALE</x:v>
      </x:c>
      <x:c r="C1" s="284" t="str">
        <x:v>REVENUE-GATED OPEX SCALE</x:v>
      </x:c>
      <x:c r="D1" s="284" t="str">
        <x:v>REVENUE-GATED OPEX SCALE</x:v>
      </x:c>
      <x:c r="E1" s="284" t="str">
        <x:v>REVENUE-GATED OPEX SCALE</x:v>
      </x:c>
      <x:c r="F1" s="284" t="str">
        <x:v>REVENUE-GATED OPEX SCALE</x:v>
      </x:c>
      <x:c r="G1" s="284" t="str">
        <x:v>REVENUE-GATED OPEX SCALE</x:v>
      </x:c>
      <x:c r="H1" s="284" t="str">
        <x:v>REVENUE-GATED OPEX SCALE</x:v>
      </x:c>
      <x:c r="I1" s="284" t="str">
        <x:v>REVENUE-GATED OPEX SCALE</x:v>
      </x:c>
      <x:c r="J1" s="227"/>
      <x:c r="K1" s="227"/>
      <x:c r="L1" s="227"/>
      <x:c r="M1" s="227"/>
      <x:c r="N1" s="227"/>
      <x:c r="O1" s="227"/>
      <x:c r="P1" s="227"/>
      <x:c r="Q1" s="227"/>
      <x:c r="R1" s="227"/>
      <x:c r="S1" s="227"/>
      <x:c r="T1" s="227"/>
      <x:c r="U1" s="227"/>
      <x:c r="V1" s="227"/>
      <x:c r="W1" s="227"/>
      <x:c r="X1" s="227"/>
      <x:c r="Y1" s="227"/>
      <x:c r="Z1" s="227"/>
    </x:row>
    <x:row r="2" ht="24" customHeight="1">
      <x:c r="A2" s="285" t="str">
        <x:v>Fixed structure grows behind installed, invoicing machines</x:v>
      </x:c>
      <x:c r="B2" s="285" t="str">
        <x:v>Fixed structure grows behind installed, invoicing machines</x:v>
      </x:c>
      <x:c r="C2" s="285" t="str">
        <x:v>Fixed structure grows behind installed, invoicing machines</x:v>
      </x:c>
      <x:c r="D2" s="285" t="str">
        <x:v>Fixed structure grows behind installed, invoicing machines</x:v>
      </x:c>
      <x:c r="E2" s="285" t="str">
        <x:v>Fixed structure grows behind installed, invoicing machines</x:v>
      </x:c>
      <x:c r="F2" s="285" t="str">
        <x:v>Fixed structure grows behind installed, invoicing machines</x:v>
      </x:c>
      <x:c r="G2" s="285" t="str">
        <x:v>Fixed structure grows behind installed, invoicing machines</x:v>
      </x:c>
      <x:c r="H2" s="285" t="str">
        <x:v>Fixed structure grows behind installed, invoicing machines</x:v>
      </x:c>
      <x:c r="I2" s="285" t="str">
        <x:v>Fixed structure grows behind installed, invoicing machines</x:v>
      </x:c>
      <x:c r="J2" s="227"/>
      <x:c r="K2" s="227"/>
      <x:c r="L2" s="227"/>
      <x:c r="M2" s="227"/>
      <x:c r="N2" s="227"/>
      <x:c r="O2" s="227"/>
      <x:c r="P2" s="227"/>
      <x:c r="Q2" s="227"/>
      <x:c r="R2" s="227"/>
      <x:c r="S2" s="227"/>
      <x:c r="T2" s="227"/>
      <x:c r="U2" s="227"/>
      <x:c r="V2" s="227"/>
      <x:c r="W2" s="227"/>
      <x:c r="X2" s="227"/>
      <x:c r="Y2" s="227"/>
      <x:c r="Z2" s="227"/>
    </x:row>
    <x:row r="3">
      <x:c r="A3" s="314" t="str">
        <x:v>Active machines from</x:v>
      </x:c>
      <x:c r="B3" s="314" t="str">
        <x:v>Active machines to</x:v>
      </x:c>
      <x:c r="C3" s="314" t="str">
        <x:v>Fixed OPEX / month</x:v>
      </x:c>
      <x:c r="D3" s="227"/>
      <x:c r="E3" s="227"/>
      <x:c r="F3" s="227"/>
      <x:c r="G3" s="227"/>
      <x:c r="H3" s="227"/>
      <x:c r="I3" s="227"/>
      <x:c r="J3" s="227"/>
      <x:c r="K3" s="227"/>
      <x:c r="L3" s="227"/>
      <x:c r="M3" s="227"/>
      <x:c r="N3" s="227"/>
      <x:c r="O3" s="227"/>
      <x:c r="P3" s="227"/>
      <x:c r="Q3" s="227"/>
      <x:c r="R3" s="227"/>
      <x:c r="S3" s="227"/>
      <x:c r="T3" s="227"/>
      <x:c r="U3" s="227"/>
      <x:c r="V3" s="227"/>
      <x:c r="W3" s="227"/>
      <x:c r="X3" s="227"/>
      <x:c r="Y3" s="227"/>
      <x:c r="Z3" s="227"/>
    </x:row>
    <x:row r="4">
      <x:c r="A4" s="301" t="n">
        <x:v>0</x:v>
      </x:c>
      <x:c r="B4" s="301" t="n">
        <x:v>32</x:v>
      </x:c>
      <x:c r="C4" s="302" t="n">
        <x:v>15700</x:v>
      </x:c>
      <x:c r="D4" s="227"/>
      <x:c r="E4" s="227"/>
      <x:c r="F4" s="227"/>
      <x:c r="G4" s="227"/>
      <x:c r="H4" s="227"/>
      <x:c r="I4" s="227"/>
      <x:c r="J4" s="227"/>
      <x:c r="K4" s="227"/>
      <x:c r="L4" s="227"/>
      <x:c r="M4" s="227"/>
      <x:c r="N4" s="227"/>
      <x:c r="O4" s="227"/>
      <x:c r="P4" s="227"/>
      <x:c r="Q4" s="227"/>
      <x:c r="R4" s="227"/>
      <x:c r="S4" s="227"/>
      <x:c r="T4" s="227"/>
      <x:c r="U4" s="227"/>
      <x:c r="V4" s="227"/>
      <x:c r="W4" s="227"/>
      <x:c r="X4" s="227"/>
      <x:c r="Y4" s="227"/>
      <x:c r="Z4" s="227"/>
    </x:row>
    <x:row r="5">
      <x:c r="A5" s="301" t="n">
        <x:v>33</x:v>
      </x:c>
      <x:c r="B5" s="301" t="n">
        <x:v>75</x:v>
      </x:c>
      <x:c r="C5" s="302" t="n">
        <x:v>30000</x:v>
      </x:c>
      <x:c r="D5" s="227"/>
      <x:c r="E5" s="227"/>
      <x:c r="F5" s="227"/>
      <x:c r="G5" s="227"/>
      <x:c r="H5" s="227"/>
      <x:c r="I5" s="227"/>
      <x:c r="J5" s="227"/>
      <x:c r="K5" s="227"/>
      <x:c r="L5" s="227"/>
      <x:c r="M5" s="227"/>
      <x:c r="N5" s="227"/>
      <x:c r="O5" s="227"/>
      <x:c r="P5" s="227"/>
      <x:c r="Q5" s="227"/>
      <x:c r="R5" s="227"/>
      <x:c r="S5" s="227"/>
      <x:c r="T5" s="227"/>
      <x:c r="U5" s="227"/>
      <x:c r="V5" s="227"/>
      <x:c r="W5" s="227"/>
      <x:c r="X5" s="227"/>
      <x:c r="Y5" s="227"/>
      <x:c r="Z5" s="227"/>
    </x:row>
    <x:row r="6">
      <x:c r="A6" s="301" t="n">
        <x:v>76</x:v>
      </x:c>
      <x:c r="B6" s="301" t="n">
        <x:v>150</x:v>
      </x:c>
      <x:c r="C6" s="302" t="n">
        <x:v>60000</x:v>
      </x:c>
      <x:c r="D6" s="227"/>
      <x:c r="E6" s="227"/>
      <x:c r="F6" s="227"/>
      <x:c r="G6" s="227"/>
      <x:c r="H6" s="227"/>
      <x:c r="I6" s="227"/>
      <x:c r="J6" s="227"/>
      <x:c r="K6" s="227"/>
      <x:c r="L6" s="227"/>
      <x:c r="M6" s="227"/>
      <x:c r="N6" s="227"/>
      <x:c r="O6" s="227"/>
      <x:c r="P6" s="227"/>
      <x:c r="Q6" s="227"/>
      <x:c r="R6" s="227"/>
      <x:c r="S6" s="227"/>
      <x:c r="T6" s="227"/>
      <x:c r="U6" s="227"/>
      <x:c r="V6" s="227"/>
      <x:c r="W6" s="227"/>
      <x:c r="X6" s="227"/>
      <x:c r="Y6" s="227"/>
      <x:c r="Z6" s="227"/>
    </x:row>
    <x:row r="7">
      <x:c r="A7" s="301" t="n">
        <x:v>151</x:v>
      </x:c>
      <x:c r="B7" s="301" t="n">
        <x:v>299</x:v>
      </x:c>
      <x:c r="C7" s="302" t="n">
        <x:v>110000</x:v>
      </x:c>
      <x:c r="D7" s="227"/>
      <x:c r="E7" s="227"/>
      <x:c r="F7" s="227"/>
      <x:c r="G7" s="227"/>
      <x:c r="H7" s="227"/>
      <x:c r="I7" s="227"/>
      <x:c r="J7" s="227"/>
      <x:c r="K7" s="227"/>
      <x:c r="L7" s="227"/>
      <x:c r="M7" s="227"/>
      <x:c r="N7" s="227"/>
      <x:c r="O7" s="227"/>
      <x:c r="P7" s="227"/>
      <x:c r="Q7" s="227"/>
      <x:c r="R7" s="227"/>
      <x:c r="S7" s="227"/>
      <x:c r="T7" s="227"/>
      <x:c r="U7" s="227"/>
      <x:c r="V7" s="227"/>
      <x:c r="W7" s="227"/>
      <x:c r="X7" s="227"/>
      <x:c r="Y7" s="227"/>
      <x:c r="Z7" s="227"/>
    </x:row>
    <x:row r="8">
      <x:c r="A8" s="301" t="n">
        <x:v>300</x:v>
      </x:c>
      <x:c r="B8" s="301" t="n">
        <x:v>399</x:v>
      </x:c>
      <x:c r="C8" s="302" t="n">
        <x:v>180000</x:v>
      </x:c>
      <x:c r="D8" s="227"/>
      <x:c r="E8" s="227"/>
      <x:c r="F8" s="227"/>
      <x:c r="G8" s="227"/>
      <x:c r="H8" s="227"/>
      <x:c r="I8" s="227"/>
      <x:c r="J8" s="227"/>
      <x:c r="K8" s="227"/>
      <x:c r="L8" s="227"/>
      <x:c r="M8" s="227"/>
      <x:c r="N8" s="227"/>
      <x:c r="O8" s="227"/>
      <x:c r="P8" s="227"/>
      <x:c r="Q8" s="227"/>
      <x:c r="R8" s="227"/>
      <x:c r="S8" s="227"/>
      <x:c r="T8" s="227"/>
      <x:c r="U8" s="227"/>
      <x:c r="V8" s="227"/>
      <x:c r="W8" s="227"/>
      <x:c r="X8" s="227"/>
      <x:c r="Y8" s="227"/>
      <x:c r="Z8" s="227"/>
    </x:row>
    <x:row r="9">
      <x:c r="A9" s="301" t="n">
        <x:v>400</x:v>
      </x:c>
      <x:c r="B9" s="301" t="n">
        <x:v>499</x:v>
      </x:c>
      <x:c r="C9" s="302" t="n">
        <x:v>235000</x:v>
      </x:c>
      <x:c r="D9" s="227"/>
      <x:c r="E9" s="227"/>
      <x:c r="F9" s="227"/>
      <x:c r="G9" s="227"/>
      <x:c r="H9" s="227"/>
      <x:c r="I9" s="227"/>
      <x:c r="J9" s="227"/>
      <x:c r="K9" s="227"/>
      <x:c r="L9" s="227"/>
      <x:c r="M9" s="227"/>
      <x:c r="N9" s="227"/>
      <x:c r="O9" s="227"/>
      <x:c r="P9" s="227"/>
      <x:c r="Q9" s="227"/>
      <x:c r="R9" s="227"/>
      <x:c r="S9" s="227"/>
      <x:c r="T9" s="227"/>
      <x:c r="U9" s="227"/>
      <x:c r="V9" s="227"/>
      <x:c r="W9" s="227"/>
      <x:c r="X9" s="227"/>
      <x:c r="Y9" s="227"/>
      <x:c r="Z9" s="227"/>
    </x:row>
    <x:row r="10">
      <x:c r="A10" s="301" t="n">
        <x:v>500</x:v>
      </x:c>
      <x:c r="B10" s="301" t="n">
        <x:v>99999</x:v>
      </x:c>
      <x:c r="C10" s="302" t="n">
        <x:v>288080</x:v>
      </x:c>
      <x:c r="D10" s="227"/>
      <x:c r="E10" s="227"/>
      <x:c r="F10" s="227"/>
      <x:c r="G10" s="227"/>
      <x:c r="H10" s="227"/>
      <x:c r="I10" s="227"/>
      <x:c r="J10" s="227"/>
      <x:c r="K10" s="227"/>
      <x:c r="L10" s="227"/>
      <x:c r="M10" s="227"/>
      <x:c r="N10" s="227"/>
      <x:c r="O10" s="227"/>
      <x:c r="P10" s="227"/>
      <x:c r="Q10" s="227"/>
      <x:c r="R10" s="227"/>
      <x:c r="S10" s="227"/>
      <x:c r="T10" s="227"/>
      <x:c r="U10" s="227"/>
      <x:c r="V10" s="227"/>
      <x:c r="W10" s="227"/>
      <x:c r="X10" s="227"/>
      <x:c r="Y10" s="227"/>
      <x:c r="Z10" s="227"/>
    </x:row>
    <x:row r="11">
      <x:c r="A11" s="227"/>
      <x:c r="B11" s="227"/>
      <x:c r="C11" s="227"/>
      <x:c r="D11" s="227"/>
      <x:c r="E11" s="227"/>
      <x:c r="F11" s="227"/>
      <x:c r="G11" s="227"/>
      <x:c r="H11" s="227"/>
      <x:c r="I11" s="227"/>
      <x:c r="J11" s="227"/>
      <x:c r="K11" s="227"/>
      <x:c r="L11" s="227"/>
      <x:c r="M11" s="227"/>
      <x:c r="N11" s="227"/>
      <x:c r="O11" s="227"/>
      <x:c r="P11" s="227"/>
      <x:c r="Q11" s="227"/>
      <x:c r="R11" s="227"/>
      <x:c r="S11" s="227"/>
      <x:c r="T11" s="227"/>
      <x:c r="U11" s="227"/>
      <x:c r="V11" s="227"/>
      <x:c r="W11" s="227"/>
      <x:c r="X11" s="227"/>
      <x:c r="Y11" s="227"/>
      <x:c r="Z11" s="227"/>
    </x:row>
    <x:row r="12">
      <x:c r="A12" s="315" t="str">
        <x:v>Mature reference structure at 500+ machines</x:v>
      </x:c>
      <x:c r="B12" s="315"/>
      <x:c r="C12" s="315"/>
      <x:c r="D12" s="315"/>
      <x:c r="E12" s="315"/>
      <x:c r="F12" s="315"/>
      <x:c r="G12" s="315"/>
      <x:c r="H12" s="227"/>
      <x:c r="I12" s="227"/>
      <x:c r="J12" s="227"/>
      <x:c r="K12" s="227"/>
      <x:c r="L12" s="227"/>
      <x:c r="M12" s="227"/>
      <x:c r="N12" s="227"/>
      <x:c r="O12" s="227"/>
      <x:c r="P12" s="227"/>
      <x:c r="Q12" s="227"/>
      <x:c r="R12" s="227"/>
      <x:c r="S12" s="227"/>
      <x:c r="T12" s="227"/>
      <x:c r="U12" s="227"/>
      <x:c r="V12" s="227"/>
      <x:c r="W12" s="227"/>
      <x:c r="X12" s="227"/>
      <x:c r="Y12" s="227"/>
      <x:c r="Z12" s="227"/>
    </x:row>
    <x:row r="13">
      <x:c r="A13" s="310" t="str">
        <x:v>Headcount &amp; field operations</x:v>
      </x:c>
      <x:c r="B13" s="310" t="str">
        <x:v>Logistics, warehouse &amp; routes</x:v>
      </x:c>
      <x:c r="C13" s="310" t="str">
        <x:v>Insurance, permits, finance &amp; admin</x:v>
      </x:c>
      <x:c r="D13" s="310" t="str">
        <x:v>NEXUS, technology, cloud &amp; data</x:v>
      </x:c>
      <x:c r="E13" s="310" t="str">
        <x:v>Legal, commercial &amp; licences</x:v>
      </x:c>
      <x:c r="F13" s="310" t="str">
        <x:v>Brand, launch &amp; sales ops</x:v>
      </x:c>
      <x:c r="G13" s="310" t="str">
        <x:v>Total</x:v>
      </x:c>
      <x:c r="H13" s="227"/>
      <x:c r="I13" s="227"/>
      <x:c r="J13" s="227"/>
      <x:c r="K13" s="227"/>
      <x:c r="L13" s="227"/>
      <x:c r="M13" s="227"/>
      <x:c r="N13" s="227"/>
      <x:c r="O13" s="227"/>
      <x:c r="P13" s="227"/>
      <x:c r="Q13" s="227"/>
      <x:c r="R13" s="227"/>
      <x:c r="S13" s="227"/>
      <x:c r="T13" s="227"/>
      <x:c r="U13" s="227"/>
      <x:c r="V13" s="227"/>
      <x:c r="W13" s="227"/>
      <x:c r="X13" s="227"/>
      <x:c r="Y13" s="227"/>
      <x:c r="Z13" s="227"/>
    </x:row>
    <x:row r="14">
      <x:c r="A14" s="302" t="n">
        <x:v>142346</x:v>
      </x:c>
      <x:c r="B14" s="302" t="n">
        <x:v>50838</x:v>
      </x:c>
      <x:c r="C14" s="302" t="n">
        <x:v>33892</x:v>
      </x:c>
      <x:c r="D14" s="302" t="n">
        <x:v>44059</x:v>
      </x:c>
      <x:c r="E14" s="302" t="n">
        <x:v>27113</x:v>
      </x:c>
      <x:c r="F14" s="302" t="n">
        <x:v>40670</x:v>
      </x:c>
      <x:c r="G14" s="302" t="n">
        <x:v>338918</x:v>
      </x:c>
      <x:c r="H14" s="227"/>
      <x:c r="I14" s="227"/>
      <x:c r="J14" s="227"/>
      <x:c r="K14" s="227"/>
      <x:c r="L14" s="227"/>
      <x:c r="M14" s="227"/>
      <x:c r="N14" s="227"/>
      <x:c r="O14" s="227"/>
      <x:c r="P14" s="227"/>
      <x:c r="Q14" s="227"/>
      <x:c r="R14" s="227"/>
      <x:c r="S14" s="227"/>
      <x:c r="T14" s="227"/>
      <x:c r="U14" s="227"/>
      <x:c r="V14" s="227"/>
      <x:c r="W14" s="227"/>
      <x:c r="X14" s="227"/>
      <x:c r="Y14" s="227"/>
      <x:c r="Z14" s="227"/>
    </x:row>
    <x:row r="15">
      <x:c r="A15" s="227"/>
      <x:c r="B15" s="227"/>
      <x:c r="C15" s="227"/>
      <x:c r="D15" s="227"/>
      <x:c r="E15" s="227"/>
      <x:c r="F15" s="227"/>
      <x:c r="G15" s="227"/>
      <x:c r="H15" s="227"/>
      <x:c r="I15" s="227"/>
      <x:c r="J15" s="227"/>
      <x:c r="K15" s="227"/>
      <x:c r="L15" s="227"/>
      <x:c r="M15" s="227"/>
      <x:c r="N15" s="227"/>
      <x:c r="O15" s="227"/>
      <x:c r="P15" s="227"/>
      <x:c r="Q15" s="227"/>
      <x:c r="R15" s="227"/>
      <x:c r="S15" s="227"/>
      <x:c r="T15" s="227"/>
      <x:c r="U15" s="227"/>
      <x:c r="V15" s="227"/>
      <x:c r="W15" s="227"/>
      <x:c r="X15" s="227"/>
      <x:c r="Y15" s="227"/>
      <x:c r="Z15" s="227"/>
    </x:row>
    <x:row r="16">
      <x:c r="A16" s="294" t="str">
        <x:v>Active model treatment: the monthly OPEX tiers above exclude the mature internal logistics line while the 7% outsourced logistics charge remains active. At 500+ machines, management may internalise logistics: replace the 7% variable logistics charge with the €50,838 mature fixed logistics line, taking total mature OPEX to €338,918/month. The two treatments must not be applied simultaneously.</x:v>
      </x:c>
      <x:c r="B16" s="294"/>
      <x:c r="C16" s="294"/>
      <x:c r="D16" s="294"/>
      <x:c r="E16" s="294"/>
      <x:c r="F16" s="294"/>
      <x:c r="G16" s="294"/>
      <x:c r="H16" s="227"/>
      <x:c r="I16" s="227"/>
      <x:c r="J16" s="227"/>
      <x:c r="K16" s="227"/>
      <x:c r="L16" s="227"/>
      <x:c r="M16" s="227"/>
      <x:c r="N16" s="227"/>
      <x:c r="O16" s="227"/>
      <x:c r="P16" s="227"/>
      <x:c r="Q16" s="227"/>
      <x:c r="R16" s="227"/>
      <x:c r="S16" s="227"/>
      <x:c r="T16" s="227"/>
      <x:c r="U16" s="227"/>
      <x:c r="V16" s="227"/>
      <x:c r="W16" s="227"/>
      <x:c r="X16" s="227"/>
      <x:c r="Y16" s="227"/>
      <x:c r="Z16" s="227"/>
    </x:row>
    <x:row r="17">
      <x:c r="A17" s="294"/>
      <x:c r="B17" s="294"/>
      <x:c r="C17" s="294"/>
      <x:c r="D17" s="294"/>
      <x:c r="E17" s="294"/>
      <x:c r="F17" s="294"/>
      <x:c r="G17" s="294"/>
      <x:c r="H17" s="227"/>
      <x:c r="I17" s="227"/>
      <x:c r="J17" s="227"/>
      <x:c r="K17" s="227"/>
      <x:c r="L17" s="227"/>
      <x:c r="M17" s="227"/>
      <x:c r="N17" s="227"/>
      <x:c r="O17" s="227"/>
      <x:c r="P17" s="227"/>
      <x:c r="Q17" s="227"/>
      <x:c r="R17" s="227"/>
      <x:c r="S17" s="227"/>
      <x:c r="T17" s="227"/>
      <x:c r="U17" s="227"/>
      <x:c r="V17" s="227"/>
      <x:c r="W17" s="227"/>
      <x:c r="X17" s="227"/>
      <x:c r="Y17" s="227"/>
      <x:c r="Z17" s="227"/>
    </x:row>
    <x:row r="18">
      <x:c r="A18" s="294"/>
      <x:c r="B18" s="294"/>
      <x:c r="C18" s="294"/>
      <x:c r="D18" s="294"/>
      <x:c r="E18" s="294"/>
      <x:c r="F18" s="294"/>
      <x:c r="G18" s="294"/>
      <x:c r="H18" s="227"/>
      <x:c r="I18" s="227"/>
      <x:c r="J18" s="227"/>
      <x:c r="K18" s="227"/>
      <x:c r="L18" s="227"/>
      <x:c r="M18" s="227"/>
      <x:c r="N18" s="227"/>
      <x:c r="O18" s="227"/>
      <x:c r="P18" s="227"/>
      <x:c r="Q18" s="227"/>
      <x:c r="R18" s="227"/>
      <x:c r="S18" s="227"/>
      <x:c r="T18" s="227"/>
      <x:c r="U18" s="227"/>
      <x:c r="V18" s="227"/>
      <x:c r="W18" s="227"/>
      <x:c r="X18" s="227"/>
      <x:c r="Y18" s="227"/>
      <x:c r="Z18" s="227"/>
    </x:row>
    <x:row r="19">
      <x:c r="A19" s="294"/>
      <x:c r="B19" s="294"/>
      <x:c r="C19" s="294"/>
      <x:c r="D19" s="294"/>
      <x:c r="E19" s="294"/>
      <x:c r="F19" s="294"/>
      <x:c r="G19" s="294"/>
      <x:c r="H19" s="227"/>
      <x:c r="I19" s="227"/>
      <x:c r="J19" s="227"/>
      <x:c r="K19" s="227"/>
      <x:c r="L19" s="227"/>
      <x:c r="M19" s="227"/>
      <x:c r="N19" s="227"/>
      <x:c r="O19" s="227"/>
      <x:c r="P19" s="227"/>
      <x:c r="Q19" s="227"/>
      <x:c r="R19" s="227"/>
      <x:c r="S19" s="227"/>
      <x:c r="T19" s="227"/>
      <x:c r="U19" s="227"/>
      <x:c r="V19" s="227"/>
      <x:c r="W19" s="227"/>
      <x:c r="X19" s="227"/>
      <x:c r="Y19" s="227"/>
      <x:c r="Z19" s="227"/>
    </x:row>
    <x:row r="20">
      <x:c r="A20" s="227"/>
      <x:c r="B20" s="227"/>
      <x:c r="C20" s="227"/>
      <x:c r="D20" s="227"/>
      <x:c r="E20" s="227"/>
      <x:c r="F20" s="227"/>
      <x:c r="G20" s="227"/>
      <x:c r="H20" s="227"/>
      <x:c r="I20" s="227"/>
      <x:c r="J20" s="227"/>
      <x:c r="K20" s="227"/>
      <x:c r="L20" s="227"/>
      <x:c r="M20" s="227"/>
      <x:c r="N20" s="227"/>
      <x:c r="O20" s="227"/>
      <x:c r="P20" s="227"/>
      <x:c r="Q20" s="227"/>
      <x:c r="R20" s="227"/>
      <x:c r="S20" s="227"/>
      <x:c r="T20" s="227"/>
      <x:c r="U20" s="227"/>
      <x:c r="V20" s="227"/>
      <x:c r="W20" s="227"/>
      <x:c r="X20" s="227"/>
      <x:c r="Y20" s="227"/>
      <x:c r="Z20" s="227"/>
    </x:row>
    <x:row r="21">
      <x:c r="A21" s="227"/>
      <x:c r="B21" s="227"/>
      <x:c r="C21" s="227"/>
      <x:c r="D21" s="227"/>
      <x:c r="E21" s="227"/>
      <x:c r="F21" s="227"/>
      <x:c r="G21" s="227"/>
      <x:c r="H21" s="227"/>
      <x:c r="I21" s="227"/>
      <x:c r="J21" s="227"/>
      <x:c r="K21" s="227"/>
      <x:c r="L21" s="227"/>
      <x:c r="M21" s="227"/>
      <x:c r="N21" s="227"/>
      <x:c r="O21" s="227"/>
      <x:c r="P21" s="227"/>
      <x:c r="Q21" s="227"/>
      <x:c r="R21" s="227"/>
      <x:c r="S21" s="227"/>
      <x:c r="T21" s="227"/>
      <x:c r="U21" s="227"/>
      <x:c r="V21" s="227"/>
      <x:c r="W21" s="227"/>
      <x:c r="X21" s="227"/>
      <x:c r="Y21" s="227"/>
      <x:c r="Z21" s="227"/>
    </x:row>
    <x:row r="22">
      <x:c r="A22" s="227"/>
      <x:c r="B22" s="227"/>
      <x:c r="C22" s="227"/>
      <x:c r="D22" s="227"/>
      <x:c r="E22" s="227"/>
      <x:c r="F22" s="227"/>
      <x:c r="G22" s="227"/>
      <x:c r="H22" s="227"/>
      <x:c r="I22" s="227"/>
      <x:c r="J22" s="227"/>
      <x:c r="K22" s="227"/>
      <x:c r="L22" s="227"/>
      <x:c r="M22" s="227"/>
      <x:c r="N22" s="227"/>
      <x:c r="O22" s="227"/>
      <x:c r="P22" s="227"/>
      <x:c r="Q22" s="227"/>
      <x:c r="R22" s="227"/>
      <x:c r="S22" s="227"/>
      <x:c r="T22" s="227"/>
      <x:c r="U22" s="227"/>
      <x:c r="V22" s="227"/>
      <x:c r="W22" s="227"/>
      <x:c r="X22" s="227"/>
      <x:c r="Y22" s="227"/>
      <x:c r="Z22" s="227"/>
    </x:row>
    <x:row r="23">
      <x:c r="A23" s="227"/>
      <x:c r="B23" s="227"/>
      <x:c r="C23" s="227"/>
      <x:c r="D23" s="227"/>
      <x:c r="E23" s="227"/>
      <x:c r="F23" s="227"/>
      <x:c r="G23" s="227"/>
      <x:c r="H23" s="227"/>
      <x:c r="I23" s="227"/>
      <x:c r="J23" s="227"/>
      <x:c r="K23" s="227"/>
      <x:c r="L23" s="227"/>
      <x:c r="M23" s="227"/>
      <x:c r="N23" s="227"/>
      <x:c r="O23" s="227"/>
      <x:c r="P23" s="227"/>
      <x:c r="Q23" s="227"/>
      <x:c r="R23" s="227"/>
      <x:c r="S23" s="227"/>
      <x:c r="T23" s="227"/>
      <x:c r="U23" s="227"/>
      <x:c r="V23" s="227"/>
      <x:c r="W23" s="227"/>
      <x:c r="X23" s="227"/>
      <x:c r="Y23" s="227"/>
      <x:c r="Z23" s="227"/>
    </x:row>
    <x:row r="24">
      <x:c r="A24" s="227"/>
      <x:c r="B24" s="227"/>
      <x:c r="C24" s="227"/>
      <x:c r="D24" s="227"/>
      <x:c r="E24" s="227"/>
      <x:c r="F24" s="227"/>
      <x:c r="G24" s="227"/>
      <x:c r="H24" s="227"/>
      <x:c r="I24" s="227"/>
      <x:c r="J24" s="227"/>
      <x:c r="K24" s="227"/>
      <x:c r="L24" s="227"/>
      <x:c r="M24" s="227"/>
      <x:c r="N24" s="227"/>
      <x:c r="O24" s="227"/>
      <x:c r="P24" s="227"/>
      <x:c r="Q24" s="227"/>
      <x:c r="R24" s="227"/>
      <x:c r="S24" s="227"/>
      <x:c r="T24" s="227"/>
      <x:c r="U24" s="227"/>
      <x:c r="V24" s="227"/>
      <x:c r="W24" s="227"/>
      <x:c r="X24" s="227"/>
      <x:c r="Y24" s="227"/>
      <x:c r="Z24" s="227"/>
    </x:row>
    <x:row r="25">
      <x:c r="A25" s="227"/>
      <x:c r="B25" s="227"/>
      <x:c r="C25" s="227"/>
      <x:c r="D25" s="227"/>
      <x:c r="E25" s="227"/>
      <x:c r="F25" s="227"/>
      <x:c r="G25" s="227"/>
      <x:c r="H25" s="227"/>
      <x:c r="I25" s="227"/>
      <x:c r="J25" s="227"/>
      <x:c r="K25" s="227"/>
      <x:c r="L25" s="227"/>
      <x:c r="M25" s="227"/>
      <x:c r="N25" s="227"/>
      <x:c r="O25" s="227"/>
      <x:c r="P25" s="227"/>
      <x:c r="Q25" s="227"/>
      <x:c r="R25" s="227"/>
      <x:c r="S25" s="227"/>
      <x:c r="T25" s="227"/>
      <x:c r="U25" s="227"/>
      <x:c r="V25" s="227"/>
      <x:c r="W25" s="227"/>
      <x:c r="X25" s="227"/>
      <x:c r="Y25" s="227"/>
      <x:c r="Z25" s="227"/>
    </x:row>
    <x:row r="26">
      <x:c r="A26" s="227"/>
      <x:c r="B26" s="227"/>
      <x:c r="C26" s="227"/>
      <x:c r="D26" s="227"/>
      <x:c r="E26" s="227"/>
      <x:c r="F26" s="227"/>
      <x:c r="G26" s="227"/>
      <x:c r="H26" s="227"/>
      <x:c r="I26" s="227"/>
      <x:c r="J26" s="227"/>
      <x:c r="K26" s="227"/>
      <x:c r="L26" s="227"/>
      <x:c r="M26" s="227"/>
      <x:c r="N26" s="227"/>
      <x:c r="O26" s="227"/>
      <x:c r="P26" s="227"/>
      <x:c r="Q26" s="227"/>
      <x:c r="R26" s="227"/>
      <x:c r="S26" s="227"/>
      <x:c r="T26" s="227"/>
      <x:c r="U26" s="227"/>
      <x:c r="V26" s="227"/>
      <x:c r="W26" s="227"/>
      <x:c r="X26" s="227"/>
      <x:c r="Y26" s="227"/>
      <x:c r="Z26" s="227"/>
    </x:row>
    <x:row r="27">
      <x:c r="A27" s="227"/>
      <x:c r="B27" s="227"/>
      <x:c r="C27" s="227"/>
      <x:c r="D27" s="227"/>
      <x:c r="E27" s="227"/>
      <x:c r="F27" s="227"/>
      <x:c r="G27" s="227"/>
      <x:c r="H27" s="227"/>
      <x:c r="I27" s="227"/>
      <x:c r="J27" s="227"/>
      <x:c r="K27" s="227"/>
      <x:c r="L27" s="227"/>
      <x:c r="M27" s="227"/>
      <x:c r="N27" s="227"/>
      <x:c r="O27" s="227"/>
      <x:c r="P27" s="227"/>
      <x:c r="Q27" s="227"/>
      <x:c r="R27" s="227"/>
      <x:c r="S27" s="227"/>
      <x:c r="T27" s="227"/>
      <x:c r="U27" s="227"/>
      <x:c r="V27" s="227"/>
      <x:c r="W27" s="227"/>
      <x:c r="X27" s="227"/>
      <x:c r="Y27" s="227"/>
      <x:c r="Z27" s="227"/>
    </x:row>
    <x:row r="28">
      <x:c r="A28" s="227"/>
      <x:c r="B28" s="227"/>
      <x:c r="C28" s="227"/>
      <x:c r="D28" s="227"/>
      <x:c r="E28" s="227"/>
      <x:c r="F28" s="227"/>
      <x:c r="G28" s="227"/>
      <x:c r="H28" s="227"/>
      <x:c r="I28" s="227"/>
      <x:c r="J28" s="227"/>
      <x:c r="K28" s="227"/>
      <x:c r="L28" s="227"/>
      <x:c r="M28" s="227"/>
      <x:c r="N28" s="227"/>
      <x:c r="O28" s="227"/>
      <x:c r="P28" s="227"/>
      <x:c r="Q28" s="227"/>
      <x:c r="R28" s="227"/>
      <x:c r="S28" s="227"/>
      <x:c r="T28" s="227"/>
      <x:c r="U28" s="227"/>
      <x:c r="V28" s="227"/>
      <x:c r="W28" s="227"/>
      <x:c r="X28" s="227"/>
      <x:c r="Y28" s="227"/>
      <x:c r="Z28" s="227"/>
    </x:row>
    <x:row r="29">
      <x:c r="A29" s="227"/>
      <x:c r="B29" s="227"/>
      <x:c r="C29" s="227"/>
      <x:c r="D29" s="227"/>
      <x:c r="E29" s="227"/>
      <x:c r="F29" s="227"/>
      <x:c r="G29" s="227"/>
      <x:c r="H29" s="227"/>
      <x:c r="I29" s="227"/>
      <x:c r="J29" s="227"/>
      <x:c r="K29" s="227"/>
      <x:c r="L29" s="227"/>
      <x:c r="M29" s="227"/>
      <x:c r="N29" s="227"/>
      <x:c r="O29" s="227"/>
      <x:c r="P29" s="227"/>
      <x:c r="Q29" s="227"/>
      <x:c r="R29" s="227"/>
      <x:c r="S29" s="227"/>
      <x:c r="T29" s="227"/>
      <x:c r="U29" s="227"/>
      <x:c r="V29" s="227"/>
      <x:c r="W29" s="227"/>
      <x:c r="X29" s="227"/>
      <x:c r="Y29" s="227"/>
      <x:c r="Z29" s="227"/>
    </x:row>
    <x:row r="30">
      <x:c r="A30" s="227"/>
      <x:c r="B30" s="227"/>
      <x:c r="C30" s="227"/>
      <x:c r="D30" s="227"/>
      <x:c r="E30" s="227"/>
      <x:c r="F30" s="227"/>
      <x:c r="G30" s="227"/>
      <x:c r="H30" s="227"/>
      <x:c r="I30" s="227"/>
      <x:c r="J30" s="227"/>
      <x:c r="K30" s="227"/>
      <x:c r="L30" s="227"/>
      <x:c r="M30" s="227"/>
      <x:c r="N30" s="227"/>
      <x:c r="O30" s="227"/>
      <x:c r="P30" s="227"/>
      <x:c r="Q30" s="227"/>
      <x:c r="R30" s="227"/>
      <x:c r="S30" s="227"/>
      <x:c r="T30" s="227"/>
      <x:c r="U30" s="227"/>
      <x:c r="V30" s="227"/>
      <x:c r="W30" s="227"/>
      <x:c r="X30" s="227"/>
      <x:c r="Y30" s="227"/>
      <x:c r="Z30" s="227"/>
    </x:row>
    <x:row r="31">
      <x:c r="A31" s="227"/>
      <x:c r="B31" s="227"/>
      <x:c r="C31" s="227"/>
      <x:c r="D31" s="227"/>
      <x:c r="E31" s="227"/>
      <x:c r="F31" s="227"/>
      <x:c r="G31" s="227"/>
      <x:c r="H31" s="227"/>
      <x:c r="I31" s="227"/>
      <x:c r="J31" s="227"/>
      <x:c r="K31" s="227"/>
      <x:c r="L31" s="227"/>
      <x:c r="M31" s="227"/>
      <x:c r="N31" s="227"/>
      <x:c r="O31" s="227"/>
      <x:c r="P31" s="227"/>
      <x:c r="Q31" s="227"/>
      <x:c r="R31" s="227"/>
      <x:c r="S31" s="227"/>
      <x:c r="T31" s="227"/>
      <x:c r="U31" s="227"/>
      <x:c r="V31" s="227"/>
      <x:c r="W31" s="227"/>
      <x:c r="X31" s="227"/>
      <x:c r="Y31" s="227"/>
      <x:c r="Z31" s="227"/>
    </x:row>
    <x:row r="32">
      <x:c r="A32" s="227"/>
      <x:c r="B32" s="227"/>
      <x:c r="C32" s="227"/>
      <x:c r="D32" s="227"/>
      <x:c r="E32" s="227"/>
      <x:c r="F32" s="227"/>
      <x:c r="G32" s="227"/>
      <x:c r="H32" s="227"/>
      <x:c r="I32" s="227"/>
      <x:c r="J32" s="227"/>
      <x:c r="K32" s="227"/>
      <x:c r="L32" s="227"/>
      <x:c r="M32" s="227"/>
      <x:c r="N32" s="227"/>
      <x:c r="O32" s="227"/>
      <x:c r="P32" s="227"/>
      <x:c r="Q32" s="227"/>
      <x:c r="R32" s="227"/>
      <x:c r="S32" s="227"/>
      <x:c r="T32" s="227"/>
      <x:c r="U32" s="227"/>
      <x:c r="V32" s="227"/>
      <x:c r="W32" s="227"/>
      <x:c r="X32" s="227"/>
      <x:c r="Y32" s="227"/>
      <x:c r="Z32" s="227"/>
    </x:row>
    <x:row r="33">
      <x:c r="A33" s="227"/>
      <x:c r="B33" s="227"/>
      <x:c r="C33" s="227"/>
      <x:c r="D33" s="227"/>
      <x:c r="E33" s="227"/>
      <x:c r="F33" s="227"/>
      <x:c r="G33" s="227"/>
      <x:c r="H33" s="227"/>
      <x:c r="I33" s="227"/>
      <x:c r="J33" s="227"/>
      <x:c r="K33" s="227"/>
      <x:c r="L33" s="227"/>
      <x:c r="M33" s="227"/>
      <x:c r="N33" s="227"/>
      <x:c r="O33" s="227"/>
      <x:c r="P33" s="227"/>
      <x:c r="Q33" s="227"/>
      <x:c r="R33" s="227"/>
      <x:c r="S33" s="227"/>
      <x:c r="T33" s="227"/>
      <x:c r="U33" s="227"/>
      <x:c r="V33" s="227"/>
      <x:c r="W33" s="227"/>
      <x:c r="X33" s="227"/>
      <x:c r="Y33" s="227"/>
      <x:c r="Z33" s="227"/>
    </x:row>
    <x:row r="34">
      <x:c r="A34" s="227"/>
      <x:c r="B34" s="227"/>
      <x:c r="C34" s="227"/>
      <x:c r="D34" s="227"/>
      <x:c r="E34" s="227"/>
      <x:c r="F34" s="227"/>
      <x:c r="G34" s="227"/>
      <x:c r="H34" s="227"/>
      <x:c r="I34" s="227"/>
      <x:c r="J34" s="227"/>
      <x:c r="K34" s="227"/>
      <x:c r="L34" s="227"/>
      <x:c r="M34" s="227"/>
      <x:c r="N34" s="227"/>
      <x:c r="O34" s="227"/>
      <x:c r="P34" s="227"/>
      <x:c r="Q34" s="227"/>
      <x:c r="R34" s="227"/>
      <x:c r="S34" s="227"/>
      <x:c r="T34" s="227"/>
      <x:c r="U34" s="227"/>
      <x:c r="V34" s="227"/>
      <x:c r="W34" s="227"/>
      <x:c r="X34" s="227"/>
      <x:c r="Y34" s="227"/>
      <x:c r="Z34" s="227"/>
    </x:row>
    <x:row r="35">
      <x:c r="A35" s="227"/>
      <x:c r="B35" s="227"/>
      <x:c r="C35" s="227"/>
      <x:c r="D35" s="227"/>
      <x:c r="E35" s="227"/>
      <x:c r="F35" s="227"/>
      <x:c r="G35" s="227"/>
      <x:c r="H35" s="227"/>
      <x:c r="I35" s="227"/>
      <x:c r="J35" s="227"/>
      <x:c r="K35" s="227"/>
      <x:c r="L35" s="227"/>
      <x:c r="M35" s="227"/>
      <x:c r="N35" s="227"/>
      <x:c r="O35" s="227"/>
      <x:c r="P35" s="227"/>
      <x:c r="Q35" s="227"/>
      <x:c r="R35" s="227"/>
      <x:c r="S35" s="227"/>
      <x:c r="T35" s="227"/>
      <x:c r="U35" s="227"/>
      <x:c r="V35" s="227"/>
      <x:c r="W35" s="227"/>
      <x:c r="X35" s="227"/>
      <x:c r="Y35" s="227"/>
      <x:c r="Z35" s="227"/>
    </x:row>
    <x:row r="36">
      <x:c r="A36" s="227"/>
      <x:c r="B36" s="227"/>
      <x:c r="C36" s="227"/>
      <x:c r="D36" s="227"/>
      <x:c r="E36" s="227"/>
      <x:c r="F36" s="227"/>
      <x:c r="G36" s="227"/>
      <x:c r="H36" s="227"/>
      <x:c r="I36" s="227"/>
      <x:c r="J36" s="227"/>
      <x:c r="K36" s="227"/>
      <x:c r="L36" s="227"/>
      <x:c r="M36" s="227"/>
      <x:c r="N36" s="227"/>
      <x:c r="O36" s="227"/>
      <x:c r="P36" s="227"/>
      <x:c r="Q36" s="227"/>
      <x:c r="R36" s="227"/>
      <x:c r="S36" s="227"/>
      <x:c r="T36" s="227"/>
      <x:c r="U36" s="227"/>
      <x:c r="V36" s="227"/>
      <x:c r="W36" s="227"/>
      <x:c r="X36" s="227"/>
      <x:c r="Y36" s="227"/>
      <x:c r="Z36" s="227"/>
    </x:row>
    <x:row r="37">
      <x:c r="A37" s="227"/>
      <x:c r="B37" s="227"/>
      <x:c r="C37" s="227"/>
      <x:c r="D37" s="227"/>
      <x:c r="E37" s="227"/>
      <x:c r="F37" s="227"/>
      <x:c r="G37" s="227"/>
      <x:c r="H37" s="227"/>
      <x:c r="I37" s="227"/>
      <x:c r="J37" s="227"/>
      <x:c r="K37" s="227"/>
      <x:c r="L37" s="227"/>
      <x:c r="M37" s="227"/>
      <x:c r="N37" s="227"/>
      <x:c r="O37" s="227"/>
      <x:c r="P37" s="227"/>
      <x:c r="Q37" s="227"/>
      <x:c r="R37" s="227"/>
      <x:c r="S37" s="227"/>
      <x:c r="T37" s="227"/>
      <x:c r="U37" s="227"/>
      <x:c r="V37" s="227"/>
      <x:c r="W37" s="227"/>
      <x:c r="X37" s="227"/>
      <x:c r="Y37" s="227"/>
      <x:c r="Z37" s="227"/>
    </x:row>
    <x:row r="38">
      <x:c r="A38" s="227"/>
      <x:c r="B38" s="227"/>
      <x:c r="C38" s="227"/>
      <x:c r="D38" s="227"/>
      <x:c r="E38" s="227"/>
      <x:c r="F38" s="227"/>
      <x:c r="G38" s="227"/>
      <x:c r="H38" s="227"/>
      <x:c r="I38" s="227"/>
      <x:c r="J38" s="227"/>
      <x:c r="K38" s="227"/>
      <x:c r="L38" s="227"/>
      <x:c r="M38" s="227"/>
      <x:c r="N38" s="227"/>
      <x:c r="O38" s="227"/>
      <x:c r="P38" s="227"/>
      <x:c r="Q38" s="227"/>
      <x:c r="R38" s="227"/>
      <x:c r="S38" s="227"/>
      <x:c r="T38" s="227"/>
      <x:c r="U38" s="227"/>
      <x:c r="V38" s="227"/>
      <x:c r="W38" s="227"/>
      <x:c r="X38" s="227"/>
      <x:c r="Y38" s="227"/>
      <x:c r="Z38" s="227"/>
    </x:row>
    <x:row r="39">
      <x:c r="A39" s="227"/>
      <x:c r="B39" s="227"/>
      <x:c r="C39" s="227"/>
      <x:c r="D39" s="227"/>
      <x:c r="E39" s="227"/>
      <x:c r="F39" s="227"/>
      <x:c r="G39" s="227"/>
      <x:c r="H39" s="227"/>
      <x:c r="I39" s="227"/>
      <x:c r="J39" s="227"/>
      <x:c r="K39" s="227"/>
      <x:c r="L39" s="227"/>
      <x:c r="M39" s="227"/>
      <x:c r="N39" s="227"/>
      <x:c r="O39" s="227"/>
      <x:c r="P39" s="227"/>
      <x:c r="Q39" s="227"/>
      <x:c r="R39" s="227"/>
      <x:c r="S39" s="227"/>
      <x:c r="T39" s="227"/>
      <x:c r="U39" s="227"/>
      <x:c r="V39" s="227"/>
      <x:c r="W39" s="227"/>
      <x:c r="X39" s="227"/>
      <x:c r="Y39" s="227"/>
      <x:c r="Z39" s="227"/>
    </x:row>
    <x:row r="40">
      <x:c r="A40" s="227"/>
      <x:c r="B40" s="227"/>
      <x:c r="C40" s="227"/>
      <x:c r="D40" s="227"/>
      <x:c r="E40" s="227"/>
      <x:c r="F40" s="227"/>
      <x:c r="G40" s="227"/>
      <x:c r="H40" s="227"/>
      <x:c r="I40" s="227"/>
      <x:c r="J40" s="227"/>
      <x:c r="K40" s="227"/>
      <x:c r="L40" s="227"/>
      <x:c r="M40" s="227"/>
      <x:c r="N40" s="227"/>
      <x:c r="O40" s="227"/>
      <x:c r="P40" s="227"/>
      <x:c r="Q40" s="227"/>
      <x:c r="R40" s="227"/>
      <x:c r="S40" s="227"/>
      <x:c r="T40" s="227"/>
      <x:c r="U40" s="227"/>
      <x:c r="V40" s="227"/>
      <x:c r="W40" s="227"/>
      <x:c r="X40" s="227"/>
      <x:c r="Y40" s="227"/>
      <x:c r="Z40" s="227"/>
    </x:row>
    <x:row r="41">
      <x:c r="A41" s="227"/>
      <x:c r="B41" s="227"/>
      <x:c r="C41" s="227"/>
      <x:c r="D41" s="227"/>
      <x:c r="E41" s="227"/>
      <x:c r="F41" s="227"/>
      <x:c r="G41" s="227"/>
      <x:c r="H41" s="227"/>
      <x:c r="I41" s="227"/>
      <x:c r="J41" s="227"/>
      <x:c r="K41" s="227"/>
      <x:c r="L41" s="227"/>
      <x:c r="M41" s="227"/>
      <x:c r="N41" s="227"/>
      <x:c r="O41" s="227"/>
      <x:c r="P41" s="227"/>
      <x:c r="Q41" s="227"/>
      <x:c r="R41" s="227"/>
      <x:c r="S41" s="227"/>
      <x:c r="T41" s="227"/>
      <x:c r="U41" s="227"/>
      <x:c r="V41" s="227"/>
      <x:c r="W41" s="227"/>
      <x:c r="X41" s="227"/>
      <x:c r="Y41" s="227"/>
      <x:c r="Z41" s="227"/>
    </x:row>
    <x:row r="42">
      <x:c r="A42" s="227"/>
      <x:c r="B42" s="227"/>
      <x:c r="C42" s="227"/>
      <x:c r="D42" s="227"/>
      <x:c r="E42" s="227"/>
      <x:c r="F42" s="227"/>
      <x:c r="G42" s="227"/>
      <x:c r="H42" s="227"/>
      <x:c r="I42" s="227"/>
      <x:c r="J42" s="227"/>
      <x:c r="K42" s="227"/>
      <x:c r="L42" s="227"/>
      <x:c r="M42" s="227"/>
      <x:c r="N42" s="227"/>
      <x:c r="O42" s="227"/>
      <x:c r="P42" s="227"/>
      <x:c r="Q42" s="227"/>
      <x:c r="R42" s="227"/>
      <x:c r="S42" s="227"/>
      <x:c r="T42" s="227"/>
      <x:c r="U42" s="227"/>
      <x:c r="V42" s="227"/>
      <x:c r="W42" s="227"/>
      <x:c r="X42" s="227"/>
      <x:c r="Y42" s="227"/>
      <x:c r="Z42" s="227"/>
    </x:row>
    <x:row r="43">
      <x:c r="A43" s="227"/>
      <x:c r="B43" s="227"/>
      <x:c r="C43" s="227"/>
      <x:c r="D43" s="227"/>
      <x:c r="E43" s="227"/>
      <x:c r="F43" s="227"/>
      <x:c r="G43" s="227"/>
      <x:c r="H43" s="227"/>
      <x:c r="I43" s="227"/>
      <x:c r="J43" s="227"/>
      <x:c r="K43" s="227"/>
      <x:c r="L43" s="227"/>
      <x:c r="M43" s="227"/>
      <x:c r="N43" s="227"/>
      <x:c r="O43" s="227"/>
      <x:c r="P43" s="227"/>
      <x:c r="Q43" s="227"/>
      <x:c r="R43" s="227"/>
      <x:c r="S43" s="227"/>
      <x:c r="T43" s="227"/>
      <x:c r="U43" s="227"/>
      <x:c r="V43" s="227"/>
      <x:c r="W43" s="227"/>
      <x:c r="X43" s="227"/>
      <x:c r="Y43" s="227"/>
      <x:c r="Z43" s="227"/>
    </x:row>
    <x:row r="44">
      <x:c r="A44" s="227"/>
      <x:c r="B44" s="227"/>
      <x:c r="C44" s="227"/>
      <x:c r="D44" s="227"/>
      <x:c r="E44" s="227"/>
      <x:c r="F44" s="227"/>
      <x:c r="G44" s="227"/>
      <x:c r="H44" s="227"/>
      <x:c r="I44" s="227"/>
      <x:c r="J44" s="227"/>
      <x:c r="K44" s="227"/>
      <x:c r="L44" s="227"/>
      <x:c r="M44" s="227"/>
      <x:c r="N44" s="227"/>
      <x:c r="O44" s="227"/>
      <x:c r="P44" s="227"/>
      <x:c r="Q44" s="227"/>
      <x:c r="R44" s="227"/>
      <x:c r="S44" s="227"/>
      <x:c r="T44" s="227"/>
      <x:c r="U44" s="227"/>
      <x:c r="V44" s="227"/>
      <x:c r="W44" s="227"/>
      <x:c r="X44" s="227"/>
      <x:c r="Y44" s="227"/>
      <x:c r="Z44" s="227"/>
    </x:row>
    <x:row r="45">
      <x:c r="A45" s="227"/>
      <x:c r="B45" s="227"/>
      <x:c r="C45" s="227"/>
      <x:c r="D45" s="227"/>
      <x:c r="E45" s="227"/>
      <x:c r="F45" s="227"/>
      <x:c r="G45" s="227"/>
      <x:c r="H45" s="227"/>
      <x:c r="I45" s="227"/>
      <x:c r="J45" s="227"/>
      <x:c r="K45" s="227"/>
      <x:c r="L45" s="227"/>
      <x:c r="M45" s="227"/>
      <x:c r="N45" s="227"/>
      <x:c r="O45" s="227"/>
      <x:c r="P45" s="227"/>
      <x:c r="Q45" s="227"/>
      <x:c r="R45" s="227"/>
      <x:c r="S45" s="227"/>
      <x:c r="T45" s="227"/>
      <x:c r="U45" s="227"/>
      <x:c r="V45" s="227"/>
      <x:c r="W45" s="227"/>
      <x:c r="X45" s="227"/>
      <x:c r="Y45" s="227"/>
      <x:c r="Z45" s="227"/>
    </x:row>
    <x:row r="46">
      <x:c r="A46" s="227"/>
      <x:c r="B46" s="227"/>
      <x:c r="C46" s="227"/>
      <x:c r="D46" s="227"/>
      <x:c r="E46" s="227"/>
      <x:c r="F46" s="227"/>
      <x:c r="G46" s="227"/>
      <x:c r="H46" s="227"/>
      <x:c r="I46" s="227"/>
      <x:c r="J46" s="227"/>
      <x:c r="K46" s="227"/>
      <x:c r="L46" s="227"/>
      <x:c r="M46" s="227"/>
      <x:c r="N46" s="227"/>
      <x:c r="O46" s="227"/>
      <x:c r="P46" s="227"/>
      <x:c r="Q46" s="227"/>
      <x:c r="R46" s="227"/>
      <x:c r="S46" s="227"/>
      <x:c r="T46" s="227"/>
      <x:c r="U46" s="227"/>
      <x:c r="V46" s="227"/>
      <x:c r="W46" s="227"/>
      <x:c r="X46" s="227"/>
      <x:c r="Y46" s="227"/>
      <x:c r="Z46" s="227"/>
    </x:row>
    <x:row r="47">
      <x:c r="A47" s="227"/>
      <x:c r="B47" s="227"/>
      <x:c r="C47" s="227"/>
      <x:c r="D47" s="227"/>
      <x:c r="E47" s="227"/>
      <x:c r="F47" s="227"/>
      <x:c r="G47" s="227"/>
      <x:c r="H47" s="227"/>
      <x:c r="I47" s="227"/>
      <x:c r="J47" s="227"/>
      <x:c r="K47" s="227"/>
      <x:c r="L47" s="227"/>
      <x:c r="M47" s="227"/>
      <x:c r="N47" s="227"/>
      <x:c r="O47" s="227"/>
      <x:c r="P47" s="227"/>
      <x:c r="Q47" s="227"/>
      <x:c r="R47" s="227"/>
      <x:c r="S47" s="227"/>
      <x:c r="T47" s="227"/>
      <x:c r="U47" s="227"/>
      <x:c r="V47" s="227"/>
      <x:c r="W47" s="227"/>
      <x:c r="X47" s="227"/>
      <x:c r="Y47" s="227"/>
      <x:c r="Z47" s="227"/>
    </x:row>
    <x:row r="48">
      <x:c r="A48" s="227"/>
      <x:c r="B48" s="227"/>
      <x:c r="C48" s="227"/>
      <x:c r="D48" s="227"/>
      <x:c r="E48" s="227"/>
      <x:c r="F48" s="227"/>
      <x:c r="G48" s="227"/>
      <x:c r="H48" s="227"/>
      <x:c r="I48" s="227"/>
      <x:c r="J48" s="227"/>
      <x:c r="K48" s="227"/>
      <x:c r="L48" s="227"/>
      <x:c r="M48" s="227"/>
      <x:c r="N48" s="227"/>
      <x:c r="O48" s="227"/>
      <x:c r="P48" s="227"/>
      <x:c r="Q48" s="227"/>
      <x:c r="R48" s="227"/>
      <x:c r="S48" s="227"/>
      <x:c r="T48" s="227"/>
      <x:c r="U48" s="227"/>
      <x:c r="V48" s="227"/>
      <x:c r="W48" s="227"/>
      <x:c r="X48" s="227"/>
      <x:c r="Y48" s="227"/>
      <x:c r="Z48" s="227"/>
    </x:row>
    <x:row r="49">
      <x:c r="A49" s="227"/>
      <x:c r="B49" s="227"/>
      <x:c r="C49" s="227"/>
      <x:c r="D49" s="227"/>
      <x:c r="E49" s="227"/>
      <x:c r="F49" s="227"/>
      <x:c r="G49" s="227"/>
      <x:c r="H49" s="227"/>
      <x:c r="I49" s="227"/>
      <x:c r="J49" s="227"/>
      <x:c r="K49" s="227"/>
      <x:c r="L49" s="227"/>
      <x:c r="M49" s="227"/>
      <x:c r="N49" s="227"/>
      <x:c r="O49" s="227"/>
      <x:c r="P49" s="227"/>
      <x:c r="Q49" s="227"/>
      <x:c r="R49" s="227"/>
      <x:c r="S49" s="227"/>
      <x:c r="T49" s="227"/>
      <x:c r="U49" s="227"/>
      <x:c r="V49" s="227"/>
      <x:c r="W49" s="227"/>
      <x:c r="X49" s="227"/>
      <x:c r="Y49" s="227"/>
      <x:c r="Z49" s="227"/>
    </x:row>
    <x:row r="50">
      <x:c r="A50" s="227"/>
      <x:c r="B50" s="227"/>
      <x:c r="C50" s="227"/>
      <x:c r="D50" s="227"/>
      <x:c r="E50" s="227"/>
      <x:c r="F50" s="227"/>
      <x:c r="G50" s="227"/>
      <x:c r="H50" s="227"/>
      <x:c r="I50" s="227"/>
      <x:c r="J50" s="227"/>
      <x:c r="K50" s="227"/>
      <x:c r="L50" s="227"/>
      <x:c r="M50" s="227"/>
      <x:c r="N50" s="227"/>
      <x:c r="O50" s="227"/>
      <x:c r="P50" s="227"/>
      <x:c r="Q50" s="227"/>
      <x:c r="R50" s="227"/>
      <x:c r="S50" s="227"/>
      <x:c r="T50" s="227"/>
      <x:c r="U50" s="227"/>
      <x:c r="V50" s="227"/>
      <x:c r="W50" s="227"/>
      <x:c r="X50" s="227"/>
      <x:c r="Y50" s="227"/>
      <x:c r="Z50" s="227"/>
    </x:row>
    <x:row r="51">
      <x:c r="A51" s="227"/>
      <x:c r="B51" s="227"/>
      <x:c r="C51" s="227"/>
      <x:c r="D51" s="227"/>
      <x:c r="E51" s="227"/>
      <x:c r="F51" s="227"/>
      <x:c r="G51" s="227"/>
      <x:c r="H51" s="227"/>
      <x:c r="I51" s="227"/>
      <x:c r="J51" s="227"/>
      <x:c r="K51" s="227"/>
      <x:c r="L51" s="227"/>
      <x:c r="M51" s="227"/>
      <x:c r="N51" s="227"/>
      <x:c r="O51" s="227"/>
      <x:c r="P51" s="227"/>
      <x:c r="Q51" s="227"/>
      <x:c r="R51" s="227"/>
      <x:c r="S51" s="227"/>
      <x:c r="T51" s="227"/>
      <x:c r="U51" s="227"/>
      <x:c r="V51" s="227"/>
      <x:c r="W51" s="227"/>
      <x:c r="X51" s="227"/>
      <x:c r="Y51" s="227"/>
      <x:c r="Z51" s="227"/>
    </x:row>
    <x:row r="52">
      <x:c r="A52" s="227"/>
      <x:c r="B52" s="227"/>
      <x:c r="C52" s="227"/>
      <x:c r="D52" s="227"/>
      <x:c r="E52" s="227"/>
      <x:c r="F52" s="227"/>
      <x:c r="G52" s="227"/>
      <x:c r="H52" s="227"/>
      <x:c r="I52" s="227"/>
      <x:c r="J52" s="227"/>
      <x:c r="K52" s="227"/>
      <x:c r="L52" s="227"/>
      <x:c r="M52" s="227"/>
      <x:c r="N52" s="227"/>
      <x:c r="O52" s="227"/>
      <x:c r="P52" s="227"/>
      <x:c r="Q52" s="227"/>
      <x:c r="R52" s="227"/>
      <x:c r="S52" s="227"/>
      <x:c r="T52" s="227"/>
      <x:c r="U52" s="227"/>
      <x:c r="V52" s="227"/>
      <x:c r="W52" s="227"/>
      <x:c r="X52" s="227"/>
      <x:c r="Y52" s="227"/>
      <x:c r="Z52" s="227"/>
    </x:row>
    <x:row r="53">
      <x:c r="A53" s="227"/>
      <x:c r="B53" s="227"/>
      <x:c r="C53" s="227"/>
      <x:c r="D53" s="227"/>
      <x:c r="E53" s="227"/>
      <x:c r="F53" s="227"/>
      <x:c r="G53" s="227"/>
      <x:c r="H53" s="227"/>
      <x:c r="I53" s="227"/>
      <x:c r="J53" s="227"/>
      <x:c r="K53" s="227"/>
      <x:c r="L53" s="227"/>
      <x:c r="M53" s="227"/>
      <x:c r="N53" s="227"/>
      <x:c r="O53" s="227"/>
      <x:c r="P53" s="227"/>
      <x:c r="Q53" s="227"/>
      <x:c r="R53" s="227"/>
      <x:c r="S53" s="227"/>
      <x:c r="T53" s="227"/>
      <x:c r="U53" s="227"/>
      <x:c r="V53" s="227"/>
      <x:c r="W53" s="227"/>
      <x:c r="X53" s="227"/>
      <x:c r="Y53" s="227"/>
      <x:c r="Z53" s="227"/>
    </x:row>
    <x:row r="54">
      <x:c r="A54" s="227"/>
      <x:c r="B54" s="227"/>
      <x:c r="C54" s="227"/>
      <x:c r="D54" s="227"/>
      <x:c r="E54" s="227"/>
      <x:c r="F54" s="227"/>
      <x:c r="G54" s="227"/>
      <x:c r="H54" s="227"/>
      <x:c r="I54" s="227"/>
      <x:c r="J54" s="227"/>
      <x:c r="K54" s="227"/>
      <x:c r="L54" s="227"/>
      <x:c r="M54" s="227"/>
      <x:c r="N54" s="227"/>
      <x:c r="O54" s="227"/>
      <x:c r="P54" s="227"/>
      <x:c r="Q54" s="227"/>
      <x:c r="R54" s="227"/>
      <x:c r="S54" s="227"/>
      <x:c r="T54" s="227"/>
      <x:c r="U54" s="227"/>
      <x:c r="V54" s="227"/>
      <x:c r="W54" s="227"/>
      <x:c r="X54" s="227"/>
      <x:c r="Y54" s="227"/>
      <x:c r="Z54" s="227"/>
    </x:row>
    <x:row r="55">
      <x:c r="A55" s="227"/>
      <x:c r="B55" s="227"/>
      <x:c r="C55" s="227"/>
      <x:c r="D55" s="227"/>
      <x:c r="E55" s="227"/>
      <x:c r="F55" s="227"/>
      <x:c r="G55" s="227"/>
      <x:c r="H55" s="227"/>
      <x:c r="I55" s="227"/>
      <x:c r="J55" s="227"/>
      <x:c r="K55" s="227"/>
      <x:c r="L55" s="227"/>
      <x:c r="M55" s="227"/>
      <x:c r="N55" s="227"/>
      <x:c r="O55" s="227"/>
      <x:c r="P55" s="227"/>
      <x:c r="Q55" s="227"/>
      <x:c r="R55" s="227"/>
      <x:c r="S55" s="227"/>
      <x:c r="T55" s="227"/>
      <x:c r="U55" s="227"/>
      <x:c r="V55" s="227"/>
      <x:c r="W55" s="227"/>
      <x:c r="X55" s="227"/>
      <x:c r="Y55" s="227"/>
      <x:c r="Z55" s="227"/>
    </x:row>
    <x:row r="56">
      <x:c r="A56" s="227"/>
      <x:c r="B56" s="227"/>
      <x:c r="C56" s="227"/>
      <x:c r="D56" s="227"/>
      <x:c r="E56" s="227"/>
      <x:c r="F56" s="227"/>
      <x:c r="G56" s="227"/>
      <x:c r="H56" s="227"/>
      <x:c r="I56" s="227"/>
      <x:c r="J56" s="227"/>
      <x:c r="K56" s="227"/>
      <x:c r="L56" s="227"/>
      <x:c r="M56" s="227"/>
      <x:c r="N56" s="227"/>
      <x:c r="O56" s="227"/>
      <x:c r="P56" s="227"/>
      <x:c r="Q56" s="227"/>
      <x:c r="R56" s="227"/>
      <x:c r="S56" s="227"/>
      <x:c r="T56" s="227"/>
      <x:c r="U56" s="227"/>
      <x:c r="V56" s="227"/>
      <x:c r="W56" s="227"/>
      <x:c r="X56" s="227"/>
      <x:c r="Y56" s="227"/>
      <x:c r="Z56" s="227"/>
    </x:row>
    <x:row r="57">
      <x:c r="A57" s="227"/>
      <x:c r="B57" s="227"/>
      <x:c r="C57" s="227"/>
      <x:c r="D57" s="227"/>
      <x:c r="E57" s="227"/>
      <x:c r="F57" s="227"/>
      <x:c r="G57" s="227"/>
      <x:c r="H57" s="227"/>
      <x:c r="I57" s="227"/>
      <x:c r="J57" s="227"/>
      <x:c r="K57" s="227"/>
      <x:c r="L57" s="227"/>
      <x:c r="M57" s="227"/>
      <x:c r="N57" s="227"/>
      <x:c r="O57" s="227"/>
      <x:c r="P57" s="227"/>
      <x:c r="Q57" s="227"/>
      <x:c r="R57" s="227"/>
      <x:c r="S57" s="227"/>
      <x:c r="T57" s="227"/>
      <x:c r="U57" s="227"/>
      <x:c r="V57" s="227"/>
      <x:c r="W57" s="227"/>
      <x:c r="X57" s="227"/>
      <x:c r="Y57" s="227"/>
      <x:c r="Z57" s="227"/>
    </x:row>
    <x:row r="58">
      <x:c r="A58" s="227"/>
      <x:c r="B58" s="227"/>
      <x:c r="C58" s="227"/>
      <x:c r="D58" s="227"/>
      <x:c r="E58" s="227"/>
      <x:c r="F58" s="227"/>
      <x:c r="G58" s="227"/>
      <x:c r="H58" s="227"/>
      <x:c r="I58" s="227"/>
      <x:c r="J58" s="227"/>
      <x:c r="K58" s="227"/>
      <x:c r="L58" s="227"/>
      <x:c r="M58" s="227"/>
      <x:c r="N58" s="227"/>
      <x:c r="O58" s="227"/>
      <x:c r="P58" s="227"/>
      <x:c r="Q58" s="227"/>
      <x:c r="R58" s="227"/>
      <x:c r="S58" s="227"/>
      <x:c r="T58" s="227"/>
      <x:c r="U58" s="227"/>
      <x:c r="V58" s="227"/>
      <x:c r="W58" s="227"/>
      <x:c r="X58" s="227"/>
      <x:c r="Y58" s="227"/>
      <x:c r="Z58" s="227"/>
    </x:row>
    <x:row r="59">
      <x:c r="A59" s="227"/>
      <x:c r="B59" s="227"/>
      <x:c r="C59" s="227"/>
      <x:c r="D59" s="227"/>
      <x:c r="E59" s="227"/>
      <x:c r="F59" s="227"/>
      <x:c r="G59" s="227"/>
      <x:c r="H59" s="227"/>
      <x:c r="I59" s="227"/>
      <x:c r="J59" s="227"/>
      <x:c r="K59" s="227"/>
      <x:c r="L59" s="227"/>
      <x:c r="M59" s="227"/>
      <x:c r="N59" s="227"/>
      <x:c r="O59" s="227"/>
      <x:c r="P59" s="227"/>
      <x:c r="Q59" s="227"/>
      <x:c r="R59" s="227"/>
      <x:c r="S59" s="227"/>
      <x:c r="T59" s="227"/>
      <x:c r="U59" s="227"/>
      <x:c r="V59" s="227"/>
      <x:c r="W59" s="227"/>
      <x:c r="X59" s="227"/>
      <x:c r="Y59" s="227"/>
      <x:c r="Z59" s="227"/>
    </x:row>
    <x:row r="60">
      <x:c r="A60" s="227"/>
      <x:c r="B60" s="227"/>
      <x:c r="C60" s="227"/>
      <x:c r="D60" s="227"/>
      <x:c r="E60" s="227"/>
      <x:c r="F60" s="227"/>
      <x:c r="G60" s="227"/>
      <x:c r="H60" s="227"/>
      <x:c r="I60" s="227"/>
      <x:c r="J60" s="227"/>
      <x:c r="K60" s="227"/>
      <x:c r="L60" s="227"/>
      <x:c r="M60" s="227"/>
      <x:c r="N60" s="227"/>
      <x:c r="O60" s="227"/>
      <x:c r="P60" s="227"/>
      <x:c r="Q60" s="227"/>
      <x:c r="R60" s="227"/>
      <x:c r="S60" s="227"/>
      <x:c r="T60" s="227"/>
      <x:c r="U60" s="227"/>
      <x:c r="V60" s="227"/>
      <x:c r="W60" s="227"/>
      <x:c r="X60" s="227"/>
      <x:c r="Y60" s="227"/>
      <x:c r="Z60" s="227"/>
    </x:row>
    <x:row r="61">
      <x:c r="A61" s="227"/>
      <x:c r="B61" s="227"/>
      <x:c r="C61" s="227"/>
      <x:c r="D61" s="227"/>
      <x:c r="E61" s="227"/>
      <x:c r="F61" s="227"/>
      <x:c r="G61" s="227"/>
      <x:c r="H61" s="227"/>
      <x:c r="I61" s="227"/>
      <x:c r="J61" s="227"/>
      <x:c r="K61" s="227"/>
      <x:c r="L61" s="227"/>
      <x:c r="M61" s="227"/>
      <x:c r="N61" s="227"/>
      <x:c r="O61" s="227"/>
      <x:c r="P61" s="227"/>
      <x:c r="Q61" s="227"/>
      <x:c r="R61" s="227"/>
      <x:c r="S61" s="227"/>
      <x:c r="T61" s="227"/>
      <x:c r="U61" s="227"/>
      <x:c r="V61" s="227"/>
      <x:c r="W61" s="227"/>
      <x:c r="X61" s="227"/>
      <x:c r="Y61" s="227"/>
      <x:c r="Z61" s="227"/>
    </x:row>
    <x:row r="62">
      <x:c r="A62" s="227"/>
      <x:c r="B62" s="227"/>
      <x:c r="C62" s="227"/>
      <x:c r="D62" s="227"/>
      <x:c r="E62" s="227"/>
      <x:c r="F62" s="227"/>
      <x:c r="G62" s="227"/>
      <x:c r="H62" s="227"/>
      <x:c r="I62" s="227"/>
      <x:c r="J62" s="227"/>
      <x:c r="K62" s="227"/>
      <x:c r="L62" s="227"/>
      <x:c r="M62" s="227"/>
      <x:c r="N62" s="227"/>
      <x:c r="O62" s="227"/>
      <x:c r="P62" s="227"/>
      <x:c r="Q62" s="227"/>
      <x:c r="R62" s="227"/>
      <x:c r="S62" s="227"/>
      <x:c r="T62" s="227"/>
      <x:c r="U62" s="227"/>
      <x:c r="V62" s="227"/>
      <x:c r="W62" s="227"/>
      <x:c r="X62" s="227"/>
      <x:c r="Y62" s="227"/>
      <x:c r="Z62" s="227"/>
    </x:row>
    <x:row r="63">
      <x:c r="A63" s="227"/>
      <x:c r="B63" s="227"/>
      <x:c r="C63" s="227"/>
      <x:c r="D63" s="227"/>
      <x:c r="E63" s="227"/>
      <x:c r="F63" s="227"/>
      <x:c r="G63" s="227"/>
      <x:c r="H63" s="227"/>
      <x:c r="I63" s="227"/>
      <x:c r="J63" s="227"/>
      <x:c r="K63" s="227"/>
      <x:c r="L63" s="227"/>
      <x:c r="M63" s="227"/>
      <x:c r="N63" s="227"/>
      <x:c r="O63" s="227"/>
      <x:c r="P63" s="227"/>
      <x:c r="Q63" s="227"/>
      <x:c r="R63" s="227"/>
      <x:c r="S63" s="227"/>
      <x:c r="T63" s="227"/>
      <x:c r="U63" s="227"/>
      <x:c r="V63" s="227"/>
      <x:c r="W63" s="227"/>
      <x:c r="X63" s="227"/>
      <x:c r="Y63" s="227"/>
      <x:c r="Z63" s="227"/>
    </x:row>
    <x:row r="64">
      <x:c r="A64" s="227"/>
      <x:c r="B64" s="227"/>
      <x:c r="C64" s="227"/>
      <x:c r="D64" s="227"/>
      <x:c r="E64" s="227"/>
      <x:c r="F64" s="227"/>
      <x:c r="G64" s="227"/>
      <x:c r="H64" s="227"/>
      <x:c r="I64" s="227"/>
      <x:c r="J64" s="227"/>
      <x:c r="K64" s="227"/>
      <x:c r="L64" s="227"/>
      <x:c r="M64" s="227"/>
      <x:c r="N64" s="227"/>
      <x:c r="O64" s="227"/>
      <x:c r="P64" s="227"/>
      <x:c r="Q64" s="227"/>
      <x:c r="R64" s="227"/>
      <x:c r="S64" s="227"/>
      <x:c r="T64" s="227"/>
      <x:c r="U64" s="227"/>
      <x:c r="V64" s="227"/>
      <x:c r="W64" s="227"/>
      <x:c r="X64" s="227"/>
      <x:c r="Y64" s="227"/>
      <x:c r="Z64" s="227"/>
    </x:row>
    <x:row r="65">
      <x:c r="A65" s="227"/>
      <x:c r="B65" s="227"/>
      <x:c r="C65" s="227"/>
      <x:c r="D65" s="227"/>
      <x:c r="E65" s="227"/>
      <x:c r="F65" s="227"/>
      <x:c r="G65" s="227"/>
      <x:c r="H65" s="227"/>
      <x:c r="I65" s="227"/>
      <x:c r="J65" s="227"/>
      <x:c r="K65" s="227"/>
      <x:c r="L65" s="227"/>
      <x:c r="M65" s="227"/>
      <x:c r="N65" s="227"/>
      <x:c r="O65" s="227"/>
      <x:c r="P65" s="227"/>
      <x:c r="Q65" s="227"/>
      <x:c r="R65" s="227"/>
      <x:c r="S65" s="227"/>
      <x:c r="T65" s="227"/>
      <x:c r="U65" s="227"/>
      <x:c r="V65" s="227"/>
      <x:c r="W65" s="227"/>
      <x:c r="X65" s="227"/>
      <x:c r="Y65" s="227"/>
      <x:c r="Z65" s="227"/>
    </x:row>
    <x:row r="66">
      <x:c r="A66" s="227"/>
      <x:c r="B66" s="227"/>
      <x:c r="C66" s="227"/>
      <x:c r="D66" s="227"/>
      <x:c r="E66" s="227"/>
      <x:c r="F66" s="227"/>
      <x:c r="G66" s="227"/>
      <x:c r="H66" s="227"/>
      <x:c r="I66" s="227"/>
      <x:c r="J66" s="227"/>
      <x:c r="K66" s="227"/>
      <x:c r="L66" s="227"/>
      <x:c r="M66" s="227"/>
      <x:c r="N66" s="227"/>
      <x:c r="O66" s="227"/>
      <x:c r="P66" s="227"/>
      <x:c r="Q66" s="227"/>
      <x:c r="R66" s="227"/>
      <x:c r="S66" s="227"/>
      <x:c r="T66" s="227"/>
      <x:c r="U66" s="227"/>
      <x:c r="V66" s="227"/>
      <x:c r="W66" s="227"/>
      <x:c r="X66" s="227"/>
      <x:c r="Y66" s="227"/>
      <x:c r="Z66" s="227"/>
    </x:row>
    <x:row r="67">
      <x:c r="A67" s="227"/>
      <x:c r="B67" s="227"/>
      <x:c r="C67" s="227"/>
      <x:c r="D67" s="227"/>
      <x:c r="E67" s="227"/>
      <x:c r="F67" s="227"/>
      <x:c r="G67" s="227"/>
      <x:c r="H67" s="227"/>
      <x:c r="I67" s="227"/>
      <x:c r="J67" s="227"/>
      <x:c r="K67" s="227"/>
      <x:c r="L67" s="227"/>
      <x:c r="M67" s="227"/>
      <x:c r="N67" s="227"/>
      <x:c r="O67" s="227"/>
      <x:c r="P67" s="227"/>
      <x:c r="Q67" s="227"/>
      <x:c r="R67" s="227"/>
      <x:c r="S67" s="227"/>
      <x:c r="T67" s="227"/>
      <x:c r="U67" s="227"/>
      <x:c r="V67" s="227"/>
      <x:c r="W67" s="227"/>
      <x:c r="X67" s="227"/>
      <x:c r="Y67" s="227"/>
      <x:c r="Z67" s="227"/>
    </x:row>
    <x:row r="68">
      <x:c r="A68" s="227"/>
      <x:c r="B68" s="227"/>
      <x:c r="C68" s="227"/>
      <x:c r="D68" s="227"/>
      <x:c r="E68" s="227"/>
      <x:c r="F68" s="227"/>
      <x:c r="G68" s="227"/>
      <x:c r="H68" s="227"/>
      <x:c r="I68" s="227"/>
      <x:c r="J68" s="227"/>
      <x:c r="K68" s="227"/>
      <x:c r="L68" s="227"/>
      <x:c r="M68" s="227"/>
      <x:c r="N68" s="227"/>
      <x:c r="O68" s="227"/>
      <x:c r="P68" s="227"/>
      <x:c r="Q68" s="227"/>
      <x:c r="R68" s="227"/>
      <x:c r="S68" s="227"/>
      <x:c r="T68" s="227"/>
      <x:c r="U68" s="227"/>
      <x:c r="V68" s="227"/>
      <x:c r="W68" s="227"/>
      <x:c r="X68" s="227"/>
      <x:c r="Y68" s="227"/>
      <x:c r="Z68" s="227"/>
    </x:row>
    <x:row r="69">
      <x:c r="A69" s="227"/>
      <x:c r="B69" s="227"/>
      <x:c r="C69" s="227"/>
      <x:c r="D69" s="227"/>
      <x:c r="E69" s="227"/>
      <x:c r="F69" s="227"/>
      <x:c r="G69" s="227"/>
      <x:c r="H69" s="227"/>
      <x:c r="I69" s="227"/>
      <x:c r="J69" s="227"/>
      <x:c r="K69" s="227"/>
      <x:c r="L69" s="227"/>
      <x:c r="M69" s="227"/>
      <x:c r="N69" s="227"/>
      <x:c r="O69" s="227"/>
      <x:c r="P69" s="227"/>
      <x:c r="Q69" s="227"/>
      <x:c r="R69" s="227"/>
      <x:c r="S69" s="227"/>
      <x:c r="T69" s="227"/>
      <x:c r="U69" s="227"/>
      <x:c r="V69" s="227"/>
      <x:c r="W69" s="227"/>
      <x:c r="X69" s="227"/>
      <x:c r="Y69" s="227"/>
      <x:c r="Z69" s="227"/>
    </x:row>
    <x:row r="70">
      <x:c r="A70" s="227"/>
      <x:c r="B70" s="227"/>
      <x:c r="C70" s="227"/>
      <x:c r="D70" s="227"/>
      <x:c r="E70" s="227"/>
      <x:c r="F70" s="227"/>
      <x:c r="G70" s="227"/>
      <x:c r="H70" s="227"/>
      <x:c r="I70" s="227"/>
      <x:c r="J70" s="227"/>
      <x:c r="K70" s="227"/>
      <x:c r="L70" s="227"/>
      <x:c r="M70" s="227"/>
      <x:c r="N70" s="227"/>
      <x:c r="O70" s="227"/>
      <x:c r="P70" s="227"/>
      <x:c r="Q70" s="227"/>
      <x:c r="R70" s="227"/>
      <x:c r="S70" s="227"/>
      <x:c r="T70" s="227"/>
      <x:c r="U70" s="227"/>
      <x:c r="V70" s="227"/>
      <x:c r="W70" s="227"/>
      <x:c r="X70" s="227"/>
      <x:c r="Y70" s="227"/>
      <x:c r="Z70" s="227"/>
    </x:row>
    <x:row r="71">
      <x:c r="A71" s="227"/>
      <x:c r="B71" s="227"/>
      <x:c r="C71" s="227"/>
      <x:c r="D71" s="227"/>
      <x:c r="E71" s="227"/>
      <x:c r="F71" s="227"/>
      <x:c r="G71" s="227"/>
      <x:c r="H71" s="227"/>
      <x:c r="I71" s="227"/>
      <x:c r="J71" s="227"/>
      <x:c r="K71" s="227"/>
      <x:c r="L71" s="227"/>
      <x:c r="M71" s="227"/>
      <x:c r="N71" s="227"/>
      <x:c r="O71" s="227"/>
      <x:c r="P71" s="227"/>
      <x:c r="Q71" s="227"/>
      <x:c r="R71" s="227"/>
      <x:c r="S71" s="227"/>
      <x:c r="T71" s="227"/>
      <x:c r="U71" s="227"/>
      <x:c r="V71" s="227"/>
      <x:c r="W71" s="227"/>
      <x:c r="X71" s="227"/>
      <x:c r="Y71" s="227"/>
      <x:c r="Z71" s="227"/>
    </x:row>
    <x:row r="72">
      <x:c r="A72" s="227"/>
      <x:c r="B72" s="227"/>
      <x:c r="C72" s="227"/>
      <x:c r="D72" s="227"/>
      <x:c r="E72" s="227"/>
      <x:c r="F72" s="227"/>
      <x:c r="G72" s="227"/>
      <x:c r="H72" s="227"/>
      <x:c r="I72" s="227"/>
      <x:c r="J72" s="227"/>
      <x:c r="K72" s="227"/>
      <x:c r="L72" s="227"/>
      <x:c r="M72" s="227"/>
      <x:c r="N72" s="227"/>
      <x:c r="O72" s="227"/>
      <x:c r="P72" s="227"/>
      <x:c r="Q72" s="227"/>
      <x:c r="R72" s="227"/>
      <x:c r="S72" s="227"/>
      <x:c r="T72" s="227"/>
      <x:c r="U72" s="227"/>
      <x:c r="V72" s="227"/>
      <x:c r="W72" s="227"/>
      <x:c r="X72" s="227"/>
      <x:c r="Y72" s="227"/>
      <x:c r="Z72" s="227"/>
    </x:row>
    <x:row r="73">
      <x:c r="A73" s="227"/>
      <x:c r="B73" s="227"/>
      <x:c r="C73" s="227"/>
      <x:c r="D73" s="227"/>
      <x:c r="E73" s="227"/>
      <x:c r="F73" s="227"/>
      <x:c r="G73" s="227"/>
      <x:c r="H73" s="227"/>
      <x:c r="I73" s="227"/>
      <x:c r="J73" s="227"/>
      <x:c r="K73" s="227"/>
      <x:c r="L73" s="227"/>
      <x:c r="M73" s="227"/>
      <x:c r="N73" s="227"/>
      <x:c r="O73" s="227"/>
      <x:c r="P73" s="227"/>
      <x:c r="Q73" s="227"/>
      <x:c r="R73" s="227"/>
      <x:c r="S73" s="227"/>
      <x:c r="T73" s="227"/>
      <x:c r="U73" s="227"/>
      <x:c r="V73" s="227"/>
      <x:c r="W73" s="227"/>
      <x:c r="X73" s="227"/>
      <x:c r="Y73" s="227"/>
      <x:c r="Z73" s="227"/>
    </x:row>
    <x:row r="74">
      <x:c r="A74" s="227"/>
      <x:c r="B74" s="227"/>
      <x:c r="C74" s="227"/>
      <x:c r="D74" s="227"/>
      <x:c r="E74" s="227"/>
      <x:c r="F74" s="227"/>
      <x:c r="G74" s="227"/>
      <x:c r="H74" s="227"/>
      <x:c r="I74" s="227"/>
      <x:c r="J74" s="227"/>
      <x:c r="K74" s="227"/>
      <x:c r="L74" s="227"/>
      <x:c r="M74" s="227"/>
      <x:c r="N74" s="227"/>
      <x:c r="O74" s="227"/>
      <x:c r="P74" s="227"/>
      <x:c r="Q74" s="227"/>
      <x:c r="R74" s="227"/>
      <x:c r="S74" s="227"/>
      <x:c r="T74" s="227"/>
      <x:c r="U74" s="227"/>
      <x:c r="V74" s="227"/>
      <x:c r="W74" s="227"/>
      <x:c r="X74" s="227"/>
      <x:c r="Y74" s="227"/>
      <x:c r="Z74" s="227"/>
    </x:row>
    <x:row r="75">
      <x:c r="A75" s="227"/>
      <x:c r="B75" s="227"/>
      <x:c r="C75" s="227"/>
      <x:c r="D75" s="227"/>
      <x:c r="E75" s="227"/>
      <x:c r="F75" s="227"/>
      <x:c r="G75" s="227"/>
      <x:c r="H75" s="227"/>
      <x:c r="I75" s="227"/>
      <x:c r="J75" s="227"/>
      <x:c r="K75" s="227"/>
      <x:c r="L75" s="227"/>
      <x:c r="M75" s="227"/>
      <x:c r="N75" s="227"/>
      <x:c r="O75" s="227"/>
      <x:c r="P75" s="227"/>
      <x:c r="Q75" s="227"/>
      <x:c r="R75" s="227"/>
      <x:c r="S75" s="227"/>
      <x:c r="T75" s="227"/>
      <x:c r="U75" s="227"/>
      <x:c r="V75" s="227"/>
      <x:c r="W75" s="227"/>
      <x:c r="X75" s="227"/>
      <x:c r="Y75" s="227"/>
      <x:c r="Z75" s="227"/>
    </x:row>
    <x:row r="76">
      <x:c r="A76" s="227"/>
      <x:c r="B76" s="227"/>
      <x:c r="C76" s="227"/>
      <x:c r="D76" s="227"/>
      <x:c r="E76" s="227"/>
      <x:c r="F76" s="227"/>
      <x:c r="G76" s="227"/>
      <x:c r="H76" s="227"/>
      <x:c r="I76" s="227"/>
      <x:c r="J76" s="227"/>
      <x:c r="K76" s="227"/>
      <x:c r="L76" s="227"/>
      <x:c r="M76" s="227"/>
      <x:c r="N76" s="227"/>
      <x:c r="O76" s="227"/>
      <x:c r="P76" s="227"/>
      <x:c r="Q76" s="227"/>
      <x:c r="R76" s="227"/>
      <x:c r="S76" s="227"/>
      <x:c r="T76" s="227"/>
      <x:c r="U76" s="227"/>
      <x:c r="V76" s="227"/>
      <x:c r="W76" s="227"/>
      <x:c r="X76" s="227"/>
      <x:c r="Y76" s="227"/>
      <x:c r="Z76" s="227"/>
    </x:row>
    <x:row r="77">
      <x:c r="A77" s="227"/>
      <x:c r="B77" s="227"/>
      <x:c r="C77" s="227"/>
      <x:c r="D77" s="227"/>
      <x:c r="E77" s="227"/>
      <x:c r="F77" s="227"/>
      <x:c r="G77" s="227"/>
      <x:c r="H77" s="227"/>
      <x:c r="I77" s="227"/>
      <x:c r="J77" s="227"/>
      <x:c r="K77" s="227"/>
      <x:c r="L77" s="227"/>
      <x:c r="M77" s="227"/>
      <x:c r="N77" s="227"/>
      <x:c r="O77" s="227"/>
      <x:c r="P77" s="227"/>
      <x:c r="Q77" s="227"/>
      <x:c r="R77" s="227"/>
      <x:c r="S77" s="227"/>
      <x:c r="T77" s="227"/>
      <x:c r="U77" s="227"/>
      <x:c r="V77" s="227"/>
      <x:c r="W77" s="227"/>
      <x:c r="X77" s="227"/>
      <x:c r="Y77" s="227"/>
      <x:c r="Z77" s="227"/>
    </x:row>
    <x:row r="78">
      <x:c r="A78" s="227"/>
      <x:c r="B78" s="227"/>
      <x:c r="C78" s="227"/>
      <x:c r="D78" s="227"/>
      <x:c r="E78" s="227"/>
      <x:c r="F78" s="227"/>
      <x:c r="G78" s="227"/>
      <x:c r="H78" s="227"/>
      <x:c r="I78" s="227"/>
      <x:c r="J78" s="227"/>
      <x:c r="K78" s="227"/>
      <x:c r="L78" s="227"/>
      <x:c r="M78" s="227"/>
      <x:c r="N78" s="227"/>
      <x:c r="O78" s="227"/>
      <x:c r="P78" s="227"/>
      <x:c r="Q78" s="227"/>
      <x:c r="R78" s="227"/>
      <x:c r="S78" s="227"/>
      <x:c r="T78" s="227"/>
      <x:c r="U78" s="227"/>
      <x:c r="V78" s="227"/>
      <x:c r="W78" s="227"/>
      <x:c r="X78" s="227"/>
      <x:c r="Y78" s="227"/>
      <x:c r="Z78" s="227"/>
    </x:row>
    <x:row r="79">
      <x:c r="A79" s="227"/>
      <x:c r="B79" s="227"/>
      <x:c r="C79" s="227"/>
      <x:c r="D79" s="227"/>
      <x:c r="E79" s="227"/>
      <x:c r="F79" s="227"/>
      <x:c r="G79" s="227"/>
      <x:c r="H79" s="227"/>
      <x:c r="I79" s="227"/>
      <x:c r="J79" s="227"/>
      <x:c r="K79" s="227"/>
      <x:c r="L79" s="227"/>
      <x:c r="M79" s="227"/>
      <x:c r="N79" s="227"/>
      <x:c r="O79" s="227"/>
      <x:c r="P79" s="227"/>
      <x:c r="Q79" s="227"/>
      <x:c r="R79" s="227"/>
      <x:c r="S79" s="227"/>
      <x:c r="T79" s="227"/>
      <x:c r="U79" s="227"/>
      <x:c r="V79" s="227"/>
      <x:c r="W79" s="227"/>
      <x:c r="X79" s="227"/>
      <x:c r="Y79" s="227"/>
      <x:c r="Z79" s="227"/>
    </x:row>
    <x:row r="80">
      <x:c r="A80" s="227"/>
      <x:c r="B80" s="227"/>
      <x:c r="C80" s="227"/>
      <x:c r="D80" s="227"/>
      <x:c r="E80" s="227"/>
      <x:c r="F80" s="227"/>
      <x:c r="G80" s="227"/>
      <x:c r="H80" s="227"/>
      <x:c r="I80" s="227"/>
      <x:c r="J80" s="227"/>
      <x:c r="K80" s="227"/>
      <x:c r="L80" s="227"/>
      <x:c r="M80" s="227"/>
      <x:c r="N80" s="227"/>
      <x:c r="O80" s="227"/>
      <x:c r="P80" s="227"/>
      <x:c r="Q80" s="227"/>
      <x:c r="R80" s="227"/>
      <x:c r="S80" s="227"/>
      <x:c r="T80" s="227"/>
      <x:c r="U80" s="227"/>
      <x:c r="V80" s="227"/>
      <x:c r="W80" s="227"/>
      <x:c r="X80" s="227"/>
      <x:c r="Y80" s="227"/>
      <x:c r="Z80" s="227"/>
    </x:row>
    <x:row r="81">
      <x:c r="A81" s="227"/>
      <x:c r="B81" s="227"/>
      <x:c r="C81" s="227"/>
      <x:c r="D81" s="227"/>
      <x:c r="E81" s="227"/>
      <x:c r="F81" s="227"/>
      <x:c r="G81" s="227"/>
      <x:c r="H81" s="227"/>
      <x:c r="I81" s="227"/>
      <x:c r="J81" s="227"/>
      <x:c r="K81" s="227"/>
      <x:c r="L81" s="227"/>
      <x:c r="M81" s="227"/>
      <x:c r="N81" s="227"/>
      <x:c r="O81" s="227"/>
      <x:c r="P81" s="227"/>
      <x:c r="Q81" s="227"/>
      <x:c r="R81" s="227"/>
      <x:c r="S81" s="227"/>
      <x:c r="T81" s="227"/>
      <x:c r="U81" s="227"/>
      <x:c r="V81" s="227"/>
      <x:c r="W81" s="227"/>
      <x:c r="X81" s="227"/>
      <x:c r="Y81" s="227"/>
      <x:c r="Z81" s="227"/>
    </x:row>
    <x:row r="82">
      <x:c r="A82" s="227"/>
      <x:c r="B82" s="227"/>
      <x:c r="C82" s="227"/>
      <x:c r="D82" s="227"/>
      <x:c r="E82" s="227"/>
      <x:c r="F82" s="227"/>
      <x:c r="G82" s="227"/>
      <x:c r="H82" s="227"/>
      <x:c r="I82" s="227"/>
      <x:c r="J82" s="227"/>
      <x:c r="K82" s="227"/>
      <x:c r="L82" s="227"/>
      <x:c r="M82" s="227"/>
      <x:c r="N82" s="227"/>
      <x:c r="O82" s="227"/>
      <x:c r="P82" s="227"/>
      <x:c r="Q82" s="227"/>
      <x:c r="R82" s="227"/>
      <x:c r="S82" s="227"/>
      <x:c r="T82" s="227"/>
      <x:c r="U82" s="227"/>
      <x:c r="V82" s="227"/>
      <x:c r="W82" s="227"/>
      <x:c r="X82" s="227"/>
      <x:c r="Y82" s="227"/>
      <x:c r="Z82" s="227"/>
    </x:row>
    <x:row r="83">
      <x:c r="A83" s="227"/>
      <x:c r="B83" s="227"/>
      <x:c r="C83" s="227"/>
      <x:c r="D83" s="227"/>
      <x:c r="E83" s="227"/>
      <x:c r="F83" s="227"/>
      <x:c r="G83" s="227"/>
      <x:c r="H83" s="227"/>
      <x:c r="I83" s="227"/>
      <x:c r="J83" s="227"/>
      <x:c r="K83" s="227"/>
      <x:c r="L83" s="227"/>
      <x:c r="M83" s="227"/>
      <x:c r="N83" s="227"/>
      <x:c r="O83" s="227"/>
      <x:c r="P83" s="227"/>
      <x:c r="Q83" s="227"/>
      <x:c r="R83" s="227"/>
      <x:c r="S83" s="227"/>
      <x:c r="T83" s="227"/>
      <x:c r="U83" s="227"/>
      <x:c r="V83" s="227"/>
      <x:c r="W83" s="227"/>
      <x:c r="X83" s="227"/>
      <x:c r="Y83" s="227"/>
      <x:c r="Z83" s="227"/>
    </x:row>
    <x:row r="84">
      <x:c r="A84" s="227"/>
      <x:c r="B84" s="227"/>
      <x:c r="C84" s="227"/>
      <x:c r="D84" s="227"/>
      <x:c r="E84" s="227"/>
      <x:c r="F84" s="227"/>
      <x:c r="G84" s="227"/>
      <x:c r="H84" s="227"/>
      <x:c r="I84" s="227"/>
      <x:c r="J84" s="227"/>
      <x:c r="K84" s="227"/>
      <x:c r="L84" s="227"/>
      <x:c r="M84" s="227"/>
      <x:c r="N84" s="227"/>
      <x:c r="O84" s="227"/>
      <x:c r="P84" s="227"/>
      <x:c r="Q84" s="227"/>
      <x:c r="R84" s="227"/>
      <x:c r="S84" s="227"/>
      <x:c r="T84" s="227"/>
      <x:c r="U84" s="227"/>
      <x:c r="V84" s="227"/>
      <x:c r="W84" s="227"/>
      <x:c r="X84" s="227"/>
      <x:c r="Y84" s="227"/>
      <x:c r="Z84" s="227"/>
    </x:row>
    <x:row r="85">
      <x:c r="A85" s="227"/>
      <x:c r="B85" s="227"/>
      <x:c r="C85" s="227"/>
      <x:c r="D85" s="227"/>
      <x:c r="E85" s="227"/>
      <x:c r="F85" s="227"/>
      <x:c r="G85" s="227"/>
      <x:c r="H85" s="227"/>
      <x:c r="I85" s="227"/>
      <x:c r="J85" s="227"/>
      <x:c r="K85" s="227"/>
      <x:c r="L85" s="227"/>
      <x:c r="M85" s="227"/>
      <x:c r="N85" s="227"/>
      <x:c r="O85" s="227"/>
      <x:c r="P85" s="227"/>
      <x:c r="Q85" s="227"/>
      <x:c r="R85" s="227"/>
      <x:c r="S85" s="227"/>
      <x:c r="T85" s="227"/>
      <x:c r="U85" s="227"/>
      <x:c r="V85" s="227"/>
      <x:c r="W85" s="227"/>
      <x:c r="X85" s="227"/>
      <x:c r="Y85" s="227"/>
      <x:c r="Z85" s="227"/>
    </x:row>
    <x:row r="86">
      <x:c r="A86" s="227"/>
      <x:c r="B86" s="227"/>
      <x:c r="C86" s="227"/>
      <x:c r="D86" s="227"/>
      <x:c r="E86" s="227"/>
      <x:c r="F86" s="227"/>
      <x:c r="G86" s="227"/>
      <x:c r="H86" s="227"/>
      <x:c r="I86" s="227"/>
      <x:c r="J86" s="227"/>
      <x:c r="K86" s="227"/>
      <x:c r="L86" s="227"/>
      <x:c r="M86" s="227"/>
      <x:c r="N86" s="227"/>
      <x:c r="O86" s="227"/>
      <x:c r="P86" s="227"/>
      <x:c r="Q86" s="227"/>
      <x:c r="R86" s="227"/>
      <x:c r="S86" s="227"/>
      <x:c r="T86" s="227"/>
      <x:c r="U86" s="227"/>
      <x:c r="V86" s="227"/>
      <x:c r="W86" s="227"/>
      <x:c r="X86" s="227"/>
      <x:c r="Y86" s="227"/>
      <x:c r="Z86" s="227"/>
    </x:row>
    <x:row r="87">
      <x:c r="A87" s="227"/>
      <x:c r="B87" s="227"/>
      <x:c r="C87" s="227"/>
      <x:c r="D87" s="227"/>
      <x:c r="E87" s="227"/>
      <x:c r="F87" s="227"/>
      <x:c r="G87" s="227"/>
      <x:c r="H87" s="227"/>
      <x:c r="I87" s="227"/>
      <x:c r="J87" s="227"/>
      <x:c r="K87" s="227"/>
      <x:c r="L87" s="227"/>
      <x:c r="M87" s="227"/>
      <x:c r="N87" s="227"/>
      <x:c r="O87" s="227"/>
      <x:c r="P87" s="227"/>
      <x:c r="Q87" s="227"/>
      <x:c r="R87" s="227"/>
      <x:c r="S87" s="227"/>
      <x:c r="T87" s="227"/>
      <x:c r="U87" s="227"/>
      <x:c r="V87" s="227"/>
      <x:c r="W87" s="227"/>
      <x:c r="X87" s="227"/>
      <x:c r="Y87" s="227"/>
      <x:c r="Z87" s="227"/>
    </x:row>
    <x:row r="88">
      <x:c r="A88" s="227"/>
      <x:c r="B88" s="227"/>
      <x:c r="C88" s="227"/>
      <x:c r="D88" s="227"/>
      <x:c r="E88" s="227"/>
      <x:c r="F88" s="227"/>
      <x:c r="G88" s="227"/>
      <x:c r="H88" s="227"/>
      <x:c r="I88" s="227"/>
      <x:c r="J88" s="227"/>
      <x:c r="K88" s="227"/>
      <x:c r="L88" s="227"/>
      <x:c r="M88" s="227"/>
      <x:c r="N88" s="227"/>
      <x:c r="O88" s="227"/>
      <x:c r="P88" s="227"/>
      <x:c r="Q88" s="227"/>
      <x:c r="R88" s="227"/>
      <x:c r="S88" s="227"/>
      <x:c r="T88" s="227"/>
      <x:c r="U88" s="227"/>
      <x:c r="V88" s="227"/>
      <x:c r="W88" s="227"/>
      <x:c r="X88" s="227"/>
      <x:c r="Y88" s="227"/>
      <x:c r="Z88" s="227"/>
    </x:row>
    <x:row r="89">
      <x:c r="A89" s="227"/>
      <x:c r="B89" s="227"/>
      <x:c r="C89" s="227"/>
      <x:c r="D89" s="227"/>
      <x:c r="E89" s="227"/>
      <x:c r="F89" s="227"/>
      <x:c r="G89" s="227"/>
      <x:c r="H89" s="227"/>
      <x:c r="I89" s="227"/>
      <x:c r="J89" s="227"/>
      <x:c r="K89" s="227"/>
      <x:c r="L89" s="227"/>
      <x:c r="M89" s="227"/>
      <x:c r="N89" s="227"/>
      <x:c r="O89" s="227"/>
      <x:c r="P89" s="227"/>
      <x:c r="Q89" s="227"/>
      <x:c r="R89" s="227"/>
      <x:c r="S89" s="227"/>
      <x:c r="T89" s="227"/>
      <x:c r="U89" s="227"/>
      <x:c r="V89" s="227"/>
      <x:c r="W89" s="227"/>
      <x:c r="X89" s="227"/>
      <x:c r="Y89" s="227"/>
      <x:c r="Z89" s="227"/>
    </x:row>
    <x:row r="90">
      <x:c r="A90" s="227"/>
      <x:c r="B90" s="227"/>
      <x:c r="C90" s="227"/>
      <x:c r="D90" s="227"/>
      <x:c r="E90" s="227"/>
      <x:c r="F90" s="227"/>
      <x:c r="G90" s="227"/>
      <x:c r="H90" s="227"/>
      <x:c r="I90" s="227"/>
      <x:c r="J90" s="227"/>
      <x:c r="K90" s="227"/>
      <x:c r="L90" s="227"/>
      <x:c r="M90" s="227"/>
      <x:c r="N90" s="227"/>
      <x:c r="O90" s="227"/>
      <x:c r="P90" s="227"/>
      <x:c r="Q90" s="227"/>
      <x:c r="R90" s="227"/>
      <x:c r="S90" s="227"/>
      <x:c r="T90" s="227"/>
      <x:c r="U90" s="227"/>
      <x:c r="V90" s="227"/>
      <x:c r="W90" s="227"/>
      <x:c r="X90" s="227"/>
      <x:c r="Y90" s="227"/>
      <x:c r="Z90" s="227"/>
    </x:row>
    <x:row r="91">
      <x:c r="A91" s="227"/>
      <x:c r="B91" s="227"/>
      <x:c r="C91" s="227"/>
      <x:c r="D91" s="227"/>
      <x:c r="E91" s="227"/>
      <x:c r="F91" s="227"/>
      <x:c r="G91" s="227"/>
      <x:c r="H91" s="227"/>
      <x:c r="I91" s="227"/>
      <x:c r="J91" s="227"/>
      <x:c r="K91" s="227"/>
      <x:c r="L91" s="227"/>
      <x:c r="M91" s="227"/>
      <x:c r="N91" s="227"/>
      <x:c r="O91" s="227"/>
      <x:c r="P91" s="227"/>
      <x:c r="Q91" s="227"/>
      <x:c r="R91" s="227"/>
      <x:c r="S91" s="227"/>
      <x:c r="T91" s="227"/>
      <x:c r="U91" s="227"/>
      <x:c r="V91" s="227"/>
      <x:c r="W91" s="227"/>
      <x:c r="X91" s="227"/>
      <x:c r="Y91" s="227"/>
      <x:c r="Z91" s="227"/>
    </x:row>
    <x:row r="92">
      <x:c r="A92" s="227"/>
      <x:c r="B92" s="227"/>
      <x:c r="C92" s="227"/>
      <x:c r="D92" s="227"/>
      <x:c r="E92" s="227"/>
      <x:c r="F92" s="227"/>
      <x:c r="G92" s="227"/>
      <x:c r="H92" s="227"/>
      <x:c r="I92" s="227"/>
      <x:c r="J92" s="227"/>
      <x:c r="K92" s="227"/>
      <x:c r="L92" s="227"/>
      <x:c r="M92" s="227"/>
      <x:c r="N92" s="227"/>
      <x:c r="O92" s="227"/>
      <x:c r="P92" s="227"/>
      <x:c r="Q92" s="227"/>
      <x:c r="R92" s="227"/>
      <x:c r="S92" s="227"/>
      <x:c r="T92" s="227"/>
      <x:c r="U92" s="227"/>
      <x:c r="V92" s="227"/>
      <x:c r="W92" s="227"/>
      <x:c r="X92" s="227"/>
      <x:c r="Y92" s="227"/>
      <x:c r="Z92" s="227"/>
    </x:row>
    <x:row r="93">
      <x:c r="A93" s="227"/>
      <x:c r="B93" s="227"/>
      <x:c r="C93" s="227"/>
      <x:c r="D93" s="227"/>
      <x:c r="E93" s="227"/>
      <x:c r="F93" s="227"/>
      <x:c r="G93" s="227"/>
      <x:c r="H93" s="227"/>
      <x:c r="I93" s="227"/>
      <x:c r="J93" s="227"/>
      <x:c r="K93" s="227"/>
      <x:c r="L93" s="227"/>
      <x:c r="M93" s="227"/>
      <x:c r="N93" s="227"/>
      <x:c r="O93" s="227"/>
      <x:c r="P93" s="227"/>
      <x:c r="Q93" s="227"/>
      <x:c r="R93" s="227"/>
      <x:c r="S93" s="227"/>
      <x:c r="T93" s="227"/>
      <x:c r="U93" s="227"/>
      <x:c r="V93" s="227"/>
      <x:c r="W93" s="227"/>
      <x:c r="X93" s="227"/>
      <x:c r="Y93" s="227"/>
      <x:c r="Z93" s="227"/>
    </x:row>
    <x:row r="94">
      <x:c r="A94" s="227"/>
      <x:c r="B94" s="227"/>
      <x:c r="C94" s="227"/>
      <x:c r="D94" s="227"/>
      <x:c r="E94" s="227"/>
      <x:c r="F94" s="227"/>
      <x:c r="G94" s="227"/>
      <x:c r="H94" s="227"/>
      <x:c r="I94" s="227"/>
      <x:c r="J94" s="227"/>
      <x:c r="K94" s="227"/>
      <x:c r="L94" s="227"/>
      <x:c r="M94" s="227"/>
      <x:c r="N94" s="227"/>
      <x:c r="O94" s="227"/>
      <x:c r="P94" s="227"/>
      <x:c r="Q94" s="227"/>
      <x:c r="R94" s="227"/>
      <x:c r="S94" s="227"/>
      <x:c r="T94" s="227"/>
      <x:c r="U94" s="227"/>
      <x:c r="V94" s="227"/>
      <x:c r="W94" s="227"/>
      <x:c r="X94" s="227"/>
      <x:c r="Y94" s="227"/>
      <x:c r="Z94" s="227"/>
    </x:row>
    <x:row r="95">
      <x:c r="A95" s="227"/>
      <x:c r="B95" s="227"/>
      <x:c r="C95" s="227"/>
      <x:c r="D95" s="227"/>
      <x:c r="E95" s="227"/>
      <x:c r="F95" s="227"/>
      <x:c r="G95" s="227"/>
      <x:c r="H95" s="227"/>
      <x:c r="I95" s="227"/>
      <x:c r="J95" s="227"/>
      <x:c r="K95" s="227"/>
      <x:c r="L95" s="227"/>
      <x:c r="M95" s="227"/>
      <x:c r="N95" s="227"/>
      <x:c r="O95" s="227"/>
      <x:c r="P95" s="227"/>
      <x:c r="Q95" s="227"/>
      <x:c r="R95" s="227"/>
      <x:c r="S95" s="227"/>
      <x:c r="T95" s="227"/>
      <x:c r="U95" s="227"/>
      <x:c r="V95" s="227"/>
      <x:c r="W95" s="227"/>
      <x:c r="X95" s="227"/>
      <x:c r="Y95" s="227"/>
      <x:c r="Z95" s="227"/>
    </x:row>
    <x:row r="96">
      <x:c r="A96" s="227"/>
      <x:c r="B96" s="227"/>
      <x:c r="C96" s="227"/>
      <x:c r="D96" s="227"/>
      <x:c r="E96" s="227"/>
      <x:c r="F96" s="227"/>
      <x:c r="G96" s="227"/>
      <x:c r="H96" s="227"/>
      <x:c r="I96" s="227"/>
      <x:c r="J96" s="227"/>
      <x:c r="K96" s="227"/>
      <x:c r="L96" s="227"/>
      <x:c r="M96" s="227"/>
      <x:c r="N96" s="227"/>
      <x:c r="O96" s="227"/>
      <x:c r="P96" s="227"/>
      <x:c r="Q96" s="227"/>
      <x:c r="R96" s="227"/>
      <x:c r="S96" s="227"/>
      <x:c r="T96" s="227"/>
      <x:c r="U96" s="227"/>
      <x:c r="V96" s="227"/>
      <x:c r="W96" s="227"/>
      <x:c r="X96" s="227"/>
      <x:c r="Y96" s="227"/>
      <x:c r="Z96" s="227"/>
    </x:row>
    <x:row r="97">
      <x:c r="A97" s="227"/>
      <x:c r="B97" s="227"/>
      <x:c r="C97" s="227"/>
      <x:c r="D97" s="227"/>
      <x:c r="E97" s="227"/>
      <x:c r="F97" s="227"/>
      <x:c r="G97" s="227"/>
      <x:c r="H97" s="227"/>
      <x:c r="I97" s="227"/>
      <x:c r="J97" s="227"/>
      <x:c r="K97" s="227"/>
      <x:c r="L97" s="227"/>
      <x:c r="M97" s="227"/>
      <x:c r="N97" s="227"/>
      <x:c r="O97" s="227"/>
      <x:c r="P97" s="227"/>
      <x:c r="Q97" s="227"/>
      <x:c r="R97" s="227"/>
      <x:c r="S97" s="227"/>
      <x:c r="T97" s="227"/>
      <x:c r="U97" s="227"/>
      <x:c r="V97" s="227"/>
      <x:c r="W97" s="227"/>
      <x:c r="X97" s="227"/>
      <x:c r="Y97" s="227"/>
      <x:c r="Z97" s="227"/>
    </x:row>
    <x:row r="98">
      <x:c r="A98" s="227"/>
      <x:c r="B98" s="227"/>
      <x:c r="C98" s="227"/>
      <x:c r="D98" s="227"/>
      <x:c r="E98" s="227"/>
      <x:c r="F98" s="227"/>
      <x:c r="G98" s="227"/>
      <x:c r="H98" s="227"/>
      <x:c r="I98" s="227"/>
      <x:c r="J98" s="227"/>
      <x:c r="K98" s="227"/>
      <x:c r="L98" s="227"/>
      <x:c r="M98" s="227"/>
      <x:c r="N98" s="227"/>
      <x:c r="O98" s="227"/>
      <x:c r="P98" s="227"/>
      <x:c r="Q98" s="227"/>
      <x:c r="R98" s="227"/>
      <x:c r="S98" s="227"/>
      <x:c r="T98" s="227"/>
      <x:c r="U98" s="227"/>
      <x:c r="V98" s="227"/>
      <x:c r="W98" s="227"/>
      <x:c r="X98" s="227"/>
      <x:c r="Y98" s="227"/>
      <x:c r="Z98" s="227"/>
    </x:row>
    <x:row r="99">
      <x:c r="A99" s="227"/>
      <x:c r="B99" s="227"/>
      <x:c r="C99" s="227"/>
      <x:c r="D99" s="227"/>
      <x:c r="E99" s="227"/>
      <x:c r="F99" s="227"/>
      <x:c r="G99" s="227"/>
      <x:c r="H99" s="227"/>
      <x:c r="I99" s="227"/>
      <x:c r="J99" s="227"/>
      <x:c r="K99" s="227"/>
      <x:c r="L99" s="227"/>
      <x:c r="M99" s="227"/>
      <x:c r="N99" s="227"/>
      <x:c r="O99" s="227"/>
      <x:c r="P99" s="227"/>
      <x:c r="Q99" s="227"/>
      <x:c r="R99" s="227"/>
      <x:c r="S99" s="227"/>
      <x:c r="T99" s="227"/>
      <x:c r="U99" s="227"/>
      <x:c r="V99" s="227"/>
      <x:c r="W99" s="227"/>
      <x:c r="X99" s="227"/>
      <x:c r="Y99" s="227"/>
      <x:c r="Z99" s="227"/>
    </x:row>
    <x:row r="100">
      <x:c r="A100" s="227"/>
      <x:c r="B100" s="227"/>
      <x:c r="C100" s="227"/>
      <x:c r="D100" s="227"/>
      <x:c r="E100" s="227"/>
      <x:c r="F100" s="227"/>
      <x:c r="G100" s="227"/>
      <x:c r="H100" s="227"/>
      <x:c r="I100" s="227"/>
      <x:c r="J100" s="227"/>
      <x:c r="K100" s="227"/>
      <x:c r="L100" s="227"/>
      <x:c r="M100" s="227"/>
      <x:c r="N100" s="227"/>
      <x:c r="O100" s="227"/>
      <x:c r="P100" s="227"/>
      <x:c r="Q100" s="227"/>
      <x:c r="R100" s="227"/>
      <x:c r="S100" s="227"/>
      <x:c r="T100" s="227"/>
      <x:c r="U100" s="227"/>
      <x:c r="V100" s="227"/>
      <x:c r="W100" s="227"/>
      <x:c r="X100" s="227"/>
      <x:c r="Y100" s="227"/>
      <x:c r="Z100" s="227"/>
    </x:row>
  </x:sheetData>
  <x:mergeCells>
    <x:mergeCell ref="A1:I1"/>
    <x:mergeCell ref="A2:I2"/>
    <x:mergeCell ref="A12:G12"/>
    <x:mergeCell ref="A16:G19"/>
  </x:mergeCells>
  <x:pageMargins left="0.7" right="0.7" top="0.75" bottom="0.75" header="0.3" footer="0.3"/>
</x:worksheet>
</file>

<file path=xl/worksheets/sheet5.xml><?xml version="1.0" encoding="utf-8"?>
<x:worksheet xmlns:x="http://schemas.openxmlformats.org/spreadsheetml/2006/main">
  <x:sheetFormatPr defaultRowHeight="15"/>
  <x:cols>
    <x:col min="1" max="1" width="38"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12" hidden="0" customWidth="1"/>
    <x:col min="16" max="16" width="12" hidden="0" customWidth="1"/>
    <x:col min="17" max="17" width="12" hidden="0" customWidth="1"/>
    <x:col min="18" max="18" width="12" hidden="0" customWidth="1"/>
    <x:col min="19" max="19" width="12" hidden="0" customWidth="1"/>
    <x:col min="20" max="20" width="12" hidden="0" customWidth="1"/>
    <x:col min="21" max="21" width="12" hidden="0" customWidth="1"/>
    <x:col min="22" max="22" width="12" hidden="0" customWidth="1"/>
    <x:col min="24" max="24" width="26" hidden="0" customWidth="1"/>
    <x:col min="25" max="25" width="18" hidden="0" customWidth="1"/>
  </x:cols>
  <x:sheetData>
    <x:row r="1" ht="32" customHeight="1">
      <x:c r="A1" s="284" t="str">
        <x:v>SCENARIO 1 — ORGANIC COMPOUNDING GROWTH</x:v>
      </x:c>
      <x:c r="B1" s="284" t="str">
        <x:v>SCENARIO 1 — ORGANIC COMPOUNDING GROWTH</x:v>
      </x:c>
      <x:c r="C1" s="284" t="str">
        <x:v>SCENARIO 1 — ORGANIC COMPOUNDING GROWTH</x:v>
      </x:c>
      <x:c r="D1" s="284" t="str">
        <x:v>SCENARIO 1 — ORGANIC COMPOUNDING GROWTH</x:v>
      </x:c>
      <x:c r="E1" s="284" t="str">
        <x:v>SCENARIO 1 — ORGANIC COMPOUNDING GROWTH</x:v>
      </x:c>
      <x:c r="F1" s="284" t="str">
        <x:v>SCENARIO 1 — ORGANIC COMPOUNDING GROWTH</x:v>
      </x:c>
      <x:c r="G1" s="284" t="str">
        <x:v>SCENARIO 1 — ORGANIC COMPOUNDING GROWTH</x:v>
      </x:c>
      <x:c r="H1" s="284" t="str">
        <x:v>SCENARIO 1 — ORGANIC COMPOUNDING GROWTH</x:v>
      </x:c>
      <x:c r="I1" s="284" t="str">
        <x:v>SCENARIO 1 — ORGANIC COMPOUNDING GROWTH</x:v>
      </x:c>
      <x:c r="J1" s="284" t="str">
        <x:v>SCENARIO 1 — ORGANIC COMPOUNDING GROWTH</x:v>
      </x:c>
      <x:c r="K1" s="284" t="str">
        <x:v>SCENARIO 1 — ORGANIC COMPOUNDING GROWTH</x:v>
      </x:c>
      <x:c r="L1" s="284" t="str">
        <x:v>SCENARIO 1 — ORGANIC COMPOUNDING GROWTH</x:v>
      </x:c>
      <x:c r="M1" s="284" t="str">
        <x:v>SCENARIO 1 — ORGANIC COMPOUNDING GROWTH</x:v>
      </x:c>
      <x:c r="N1" s="284" t="str">
        <x:v>SCENARIO 1 — ORGANIC COMPOUNDING GROWTH</x:v>
      </x:c>
      <x:c r="O1" s="284" t="str">
        <x:v>SCENARIO 1 — ORGANIC COMPOUNDING GROWTH</x:v>
      </x:c>
      <x:c r="P1" s="284" t="str">
        <x:v>SCENARIO 1 — ORGANIC COMPOUNDING GROWTH</x:v>
      </x:c>
      <x:c r="Q1" s="284" t="str">
        <x:v>SCENARIO 1 — ORGANIC COMPOUNDING GROWTH</x:v>
      </x:c>
      <x:c r="R1" s="284" t="str">
        <x:v>SCENARIO 1 — ORGANIC COMPOUNDING GROWTH</x:v>
      </x:c>
      <x:c r="S1" s="284" t="str">
        <x:v>SCENARIO 1 — ORGANIC COMPOUNDING GROWTH</x:v>
      </x:c>
      <x:c r="T1" s="284" t="str">
        <x:v>SCENARIO 1 — ORGANIC COMPOUNDING GROWTH</x:v>
      </x:c>
      <x:c r="U1" s="284" t="str">
        <x:v>SCENARIO 1 — ORGANIC COMPOUNDING GROWTH</x:v>
      </x:c>
      <x:c r="V1" s="284" t="str">
        <x:v>SCENARIO 1 — ORGANIC COMPOUNDING GROWTH</x:v>
      </x:c>
      <x:c r="W1" s="227"/>
      <x:c r="X1" s="227"/>
      <x:c r="Y1" s="227"/>
      <x:c r="Z1" s="227"/>
    </x:row>
    <x:row r="2" ht="24" customHeight="1">
      <x:c r="A2" s="285" t="str">
        <x:v>€230k seed case · 70% indicative reinvestment review · 30-machine commercial launch</x:v>
      </x:c>
      <x:c r="B2" s="285" t="str">
        <x:v>€230k seed case · 70% indicative reinvestment review · 30-machine commercial launch</x:v>
      </x:c>
      <x:c r="C2" s="285" t="str">
        <x:v>€230k seed case · 70% indicative reinvestment review · 30-machine commercial launch</x:v>
      </x:c>
      <x:c r="D2" s="285" t="str">
        <x:v>€230k seed case · 70% indicative reinvestment review · 30-machine commercial launch</x:v>
      </x:c>
      <x:c r="E2" s="285" t="str">
        <x:v>€230k seed case · 70% indicative reinvestment review · 30-machine commercial launch</x:v>
      </x:c>
      <x:c r="F2" s="285" t="str">
        <x:v>€230k seed case · 70% indicative reinvestment review · 30-machine commercial launch</x:v>
      </x:c>
      <x:c r="G2" s="285" t="str">
        <x:v>€230k seed case · 70% indicative reinvestment review · 30-machine commercial launch</x:v>
      </x:c>
      <x:c r="H2" s="285" t="str">
        <x:v>€230k seed case · 70% indicative reinvestment review · 30-machine commercial launch</x:v>
      </x:c>
      <x:c r="I2" s="285" t="str">
        <x:v>€230k seed case · 70% indicative reinvestment review · 30-machine commercial launch</x:v>
      </x:c>
      <x:c r="J2" s="285" t="str">
        <x:v>€230k seed case · 70% indicative reinvestment review · 30-machine commercial launch</x:v>
      </x:c>
      <x:c r="K2" s="285" t="str">
        <x:v>€230k seed case · 70% indicative reinvestment review · 30-machine commercial launch</x:v>
      </x:c>
      <x:c r="L2" s="285" t="str">
        <x:v>€230k seed case · 70% indicative reinvestment review · 30-machine commercial launch</x:v>
      </x:c>
      <x:c r="M2" s="285" t="str">
        <x:v>€230k seed case · 70% indicative reinvestment review · 30-machine commercial launch</x:v>
      </x:c>
      <x:c r="N2" s="285" t="str">
        <x:v>€230k seed case · 70% indicative reinvestment review · 30-machine commercial launch</x:v>
      </x:c>
      <x:c r="O2" s="285" t="str">
        <x:v>€230k seed case · 70% indicative reinvestment review · 30-machine commercial launch</x:v>
      </x:c>
      <x:c r="P2" s="285" t="str">
        <x:v>€230k seed case · 70% indicative reinvestment review · 30-machine commercial launch</x:v>
      </x:c>
      <x:c r="Q2" s="285" t="str">
        <x:v>€230k seed case · 70% indicative reinvestment review · 30-machine commercial launch</x:v>
      </x:c>
      <x:c r="R2" s="285" t="str">
        <x:v>€230k seed case · 70% indicative reinvestment review · 30-machine commercial launch</x:v>
      </x:c>
      <x:c r="S2" s="285" t="str">
        <x:v>€230k seed case · 70% indicative reinvestment review · 30-machine commercial launch</x:v>
      </x:c>
      <x:c r="T2" s="285" t="str">
        <x:v>€230k seed case · 70% indicative reinvestment review · 30-machine commercial launch</x:v>
      </x:c>
      <x:c r="U2" s="285" t="str">
        <x:v>€230k seed case · 70% indicative reinvestment review · 30-machine commercial launch</x:v>
      </x:c>
      <x:c r="V2" s="285" t="str">
        <x:v>€230k seed case · 70% indicative reinvestment review · 30-machine commercial launch</x:v>
      </x:c>
      <x:c r="W2" s="227"/>
      <x:c r="X2" s="370" t="str">
        <x:v>Scenario summary</x:v>
      </x:c>
      <x:c r="Y2" s="370"/>
      <x:c r="Z2" s="370"/>
    </x:row>
    <x:row r="3">
      <x:c r="A3" s="371"/>
      <x:c r="B3" s="371"/>
      <x:c r="C3" s="371"/>
      <x:c r="D3" s="371"/>
      <x:c r="E3" s="371"/>
      <x:c r="F3" s="371"/>
      <x:c r="G3" s="371"/>
      <x:c r="H3" s="371"/>
      <x:c r="I3" s="371"/>
      <x:c r="J3" s="371"/>
      <x:c r="K3" s="371"/>
      <x:c r="L3" s="371"/>
      <x:c r="M3" s="371"/>
      <x:c r="N3" s="371"/>
      <x:c r="O3" s="371"/>
      <x:c r="P3" s="371"/>
      <x:c r="Q3" s="371"/>
      <x:c r="R3" s="371"/>
      <x:c r="S3" s="371"/>
      <x:c r="T3" s="371"/>
      <x:c r="U3" s="371"/>
      <x:c r="V3" s="371"/>
      <x:c r="W3" s="227"/>
      <x:c r="X3" s="372" t="str">
        <x:v>Total gross revenue</x:v>
      </x:c>
      <x:c r="Y3" s="373" t="n">
        <x:f>SUM(B63:V63)</x:f>
        <x:v>11386057.5</x:v>
      </x:c>
      <x:c r="Z3" s="227"/>
    </x:row>
    <x:row r="4">
      <x:c r="A4" s="374" t="str">
        <x:v>Month</x:v>
      </x:c>
      <x:c r="B4" s="375" t="n">
        <x:v>46235</x:v>
      </x:c>
      <x:c r="C4" s="375" t="n">
        <x:v>46266</x:v>
      </x:c>
      <x:c r="D4" s="375" t="n">
        <x:v>46296</x:v>
      </x:c>
      <x:c r="E4" s="375" t="n">
        <x:v>46327</x:v>
      </x:c>
      <x:c r="F4" s="375" t="n">
        <x:v>46357</x:v>
      </x:c>
      <x:c r="G4" s="375" t="n">
        <x:v>46388</x:v>
      </x:c>
      <x:c r="H4" s="375" t="n">
        <x:v>46419</x:v>
      </x:c>
      <x:c r="I4" s="375" t="n">
        <x:v>46447</x:v>
      </x:c>
      <x:c r="J4" s="375" t="n">
        <x:v>46478</x:v>
      </x:c>
      <x:c r="K4" s="375" t="n">
        <x:v>46508</x:v>
      </x:c>
      <x:c r="L4" s="375" t="n">
        <x:v>46539</x:v>
      </x:c>
      <x:c r="M4" s="375" t="n">
        <x:v>46569</x:v>
      </x:c>
      <x:c r="N4" s="375" t="n">
        <x:v>46600</x:v>
      </x:c>
      <x:c r="O4" s="375" t="n">
        <x:v>46631</x:v>
      </x:c>
      <x:c r="P4" s="375" t="n">
        <x:v>46661</x:v>
      </x:c>
      <x:c r="Q4" s="375" t="n">
        <x:v>46692</x:v>
      </x:c>
      <x:c r="R4" s="375" t="n">
        <x:v>46722</x:v>
      </x:c>
      <x:c r="S4" s="375" t="n">
        <x:v>46753</x:v>
      </x:c>
      <x:c r="T4" s="375" t="n">
        <x:v>46784</x:v>
      </x:c>
      <x:c r="U4" s="375" t="n">
        <x:v>46813</x:v>
      </x:c>
      <x:c r="V4" s="375" t="n">
        <x:v>46844</x:v>
      </x:c>
      <x:c r="W4" s="227"/>
      <x:c r="X4" s="376" t="str">
        <x:v>Net revenue retained</x:v>
      </x:c>
      <x:c r="Y4" s="377" t="n">
        <x:f>SUM(B64:V64)</x:f>
        <x:v>10986057.5</x:v>
      </x:c>
      <x:c r="Z4" s="227"/>
    </x:row>
    <x:row r="5">
      <x:c r="A5" s="374" t="str">
        <x:v>Month #</x:v>
      </x:c>
      <x:c r="B5" s="374" t="n">
        <x:v>1</x:v>
      </x:c>
      <x:c r="C5" s="374" t="n">
        <x:v>2</x:v>
      </x:c>
      <x:c r="D5" s="374" t="n">
        <x:v>3</x:v>
      </x:c>
      <x:c r="E5" s="374" t="n">
        <x:v>4</x:v>
      </x:c>
      <x:c r="F5" s="374" t="n">
        <x:v>5</x:v>
      </x:c>
      <x:c r="G5" s="374" t="n">
        <x:v>6</x:v>
      </x:c>
      <x:c r="H5" s="374" t="n">
        <x:v>7</x:v>
      </x:c>
      <x:c r="I5" s="374" t="n">
        <x:v>8</x:v>
      </x:c>
      <x:c r="J5" s="374" t="n">
        <x:v>9</x:v>
      </x:c>
      <x:c r="K5" s="374" t="n">
        <x:v>10</x:v>
      </x:c>
      <x:c r="L5" s="374" t="n">
        <x:v>11</x:v>
      </x:c>
      <x:c r="M5" s="374" t="n">
        <x:v>12</x:v>
      </x:c>
      <x:c r="N5" s="374" t="n">
        <x:v>13</x:v>
      </x:c>
      <x:c r="O5" s="374" t="n">
        <x:v>14</x:v>
      </x:c>
      <x:c r="P5" s="374" t="n">
        <x:v>15</x:v>
      </x:c>
      <x:c r="Q5" s="374" t="n">
        <x:v>16</x:v>
      </x:c>
      <x:c r="R5" s="374" t="n">
        <x:v>17</x:v>
      </x:c>
      <x:c r="S5" s="374" t="n">
        <x:v>18</x:v>
      </x:c>
      <x:c r="T5" s="374" t="n">
        <x:v>19</x:v>
      </x:c>
      <x:c r="U5" s="374" t="n">
        <x:v>20</x:v>
      </x:c>
      <x:c r="V5" s="374" t="n">
        <x:v>21</x:v>
      </x:c>
      <x:c r="W5" s="227"/>
      <x:c r="X5" s="376" t="str">
        <x:v>Total EBITDA</x:v>
      </x:c>
      <x:c r="Y5" s="377" t="n">
        <x:f>SUM(B68:V68)</x:f>
        <x:v>5324319.825</x:v>
      </x:c>
      <x:c r="Z5" s="227"/>
    </x:row>
    <x:row r="6">
      <x:c r="A6" s="371"/>
      <x:c r="B6" s="371"/>
      <x:c r="C6" s="371"/>
      <x:c r="D6" s="371"/>
      <x:c r="E6" s="371"/>
      <x:c r="F6" s="371"/>
      <x:c r="G6" s="371"/>
      <x:c r="H6" s="371"/>
      <x:c r="I6" s="371"/>
      <x:c r="J6" s="371"/>
      <x:c r="K6" s="371"/>
      <x:c r="L6" s="371"/>
      <x:c r="M6" s="371"/>
      <x:c r="N6" s="371"/>
      <x:c r="O6" s="371"/>
      <x:c r="P6" s="371"/>
      <x:c r="Q6" s="371"/>
      <x:c r="R6" s="371"/>
      <x:c r="S6" s="371"/>
      <x:c r="T6" s="371"/>
      <x:c r="U6" s="371"/>
      <x:c r="V6" s="371"/>
      <x:c r="W6" s="227"/>
      <x:c r="X6" s="376" t="str">
        <x:v>Ending cash</x:v>
      </x:c>
      <x:c r="Y6" s="377" t="n">
        <x:f>V78</x:f>
        <x:v>3579698.1066666665</x:v>
      </x:c>
      <x:c r="Z6" s="227"/>
    </x:row>
    <x:row r="7" ht="23" customHeight="1">
      <x:c r="A7" s="378" t="str">
        <x:v>FUNDING &amp; DEPLOYMENT</x:v>
      </x:c>
      <x:c r="B7" s="378" t="str">
        <x:v>FUNDING &amp; DEPLOYMENT</x:v>
      </x:c>
      <x:c r="C7" s="378" t="str">
        <x:v>FUNDING &amp; DEPLOYMENT</x:v>
      </x:c>
      <x:c r="D7" s="378" t="str">
        <x:v>FUNDING &amp; DEPLOYMENT</x:v>
      </x:c>
      <x:c r="E7" s="378" t="str">
        <x:v>FUNDING &amp; DEPLOYMENT</x:v>
      </x:c>
      <x:c r="F7" s="378" t="str">
        <x:v>FUNDING &amp; DEPLOYMENT</x:v>
      </x:c>
      <x:c r="G7" s="378" t="str">
        <x:v>FUNDING &amp; DEPLOYMENT</x:v>
      </x:c>
      <x:c r="H7" s="378" t="str">
        <x:v>FUNDING &amp; DEPLOYMENT</x:v>
      </x:c>
      <x:c r="I7" s="378" t="str">
        <x:v>FUNDING &amp; DEPLOYMENT</x:v>
      </x:c>
      <x:c r="J7" s="378" t="str">
        <x:v>FUNDING &amp; DEPLOYMENT</x:v>
      </x:c>
      <x:c r="K7" s="378" t="str">
        <x:v>FUNDING &amp; DEPLOYMENT</x:v>
      </x:c>
      <x:c r="L7" s="378" t="str">
        <x:v>FUNDING &amp; DEPLOYMENT</x:v>
      </x:c>
      <x:c r="M7" s="378" t="str">
        <x:v>FUNDING &amp; DEPLOYMENT</x:v>
      </x:c>
      <x:c r="N7" s="378" t="str">
        <x:v>FUNDING &amp; DEPLOYMENT</x:v>
      </x:c>
      <x:c r="O7" s="378" t="str">
        <x:v>FUNDING &amp; DEPLOYMENT</x:v>
      </x:c>
      <x:c r="P7" s="378" t="str">
        <x:v>FUNDING &amp; DEPLOYMENT</x:v>
      </x:c>
      <x:c r="Q7" s="378" t="str">
        <x:v>FUNDING &amp; DEPLOYMENT</x:v>
      </x:c>
      <x:c r="R7" s="378" t="str">
        <x:v>FUNDING &amp; DEPLOYMENT</x:v>
      </x:c>
      <x:c r="S7" s="378" t="str">
        <x:v>FUNDING &amp; DEPLOYMENT</x:v>
      </x:c>
      <x:c r="T7" s="378" t="str">
        <x:v>FUNDING &amp; DEPLOYMENT</x:v>
      </x:c>
      <x:c r="U7" s="378" t="str">
        <x:v>FUNDING &amp; DEPLOYMENT</x:v>
      </x:c>
      <x:c r="V7" s="378" t="str">
        <x:v>FUNDING &amp; DEPLOYMENT</x:v>
      </x:c>
      <x:c r="W7" s="227"/>
      <x:c r="X7" s="376" t="str">
        <x:v>Minimum cash</x:v>
      </x:c>
      <x:c r="Y7" s="377" t="n">
        <x:f>MIN(C78:V78)</x:f>
        <x:v>75133</x:v>
      </x:c>
      <x:c r="Z7" s="227"/>
    </x:row>
    <x:row r="8">
      <x:c r="A8" s="327" t="str">
        <x:v>Seed funding</x:v>
      </x:c>
      <x:c r="B8" s="379" t="n">
        <x:f>IF(B$4=Assumptions!$B$31,Assumptions!$B$30,0)</x:f>
        <x:v>0</x:v>
      </x:c>
      <x:c r="C8" s="379" t="n">
        <x:f>IF(C$4=Assumptions!$B$31,Assumptions!$B$30,0)</x:f>
        <x:v>230000</x:v>
      </x:c>
      <x:c r="D8" s="379" t="n">
        <x:f>IF(D$4=Assumptions!$B$31,Assumptions!$B$30,0)</x:f>
        <x:v>0</x:v>
      </x:c>
      <x:c r="E8" s="379" t="n">
        <x:f>IF(E$4=Assumptions!$B$31,Assumptions!$B$30,0)</x:f>
        <x:v>0</x:v>
      </x:c>
      <x:c r="F8" s="379" t="n">
        <x:f>IF(F$4=Assumptions!$B$31,Assumptions!$B$30,0)</x:f>
        <x:v>0</x:v>
      </x:c>
      <x:c r="G8" s="379" t="n">
        <x:f>IF(G$4=Assumptions!$B$31,Assumptions!$B$30,0)</x:f>
        <x:v>0</x:v>
      </x:c>
      <x:c r="H8" s="379" t="n">
        <x:f>IF(H$4=Assumptions!$B$31,Assumptions!$B$30,0)</x:f>
        <x:v>0</x:v>
      </x:c>
      <x:c r="I8" s="379" t="n">
        <x:f>IF(I$4=Assumptions!$B$31,Assumptions!$B$30,0)</x:f>
        <x:v>0</x:v>
      </x:c>
      <x:c r="J8" s="379" t="n">
        <x:f>IF(J$4=Assumptions!$B$31,Assumptions!$B$30,0)</x:f>
        <x:v>0</x:v>
      </x:c>
      <x:c r="K8" s="379" t="n">
        <x:f>IF(K$4=Assumptions!$B$31,Assumptions!$B$30,0)</x:f>
        <x:v>0</x:v>
      </x:c>
      <x:c r="L8" s="379" t="n">
        <x:f>IF(L$4=Assumptions!$B$31,Assumptions!$B$30,0)</x:f>
        <x:v>0</x:v>
      </x:c>
      <x:c r="M8" s="379" t="n">
        <x:f>IF(M$4=Assumptions!$B$31,Assumptions!$B$30,0)</x:f>
        <x:v>0</x:v>
      </x:c>
      <x:c r="N8" s="379" t="n">
        <x:f>IF(N$4=Assumptions!$B$31,Assumptions!$B$30,0)</x:f>
        <x:v>0</x:v>
      </x:c>
      <x:c r="O8" s="379" t="n">
        <x:f>IF(O$4=Assumptions!$B$31,Assumptions!$B$30,0)</x:f>
        <x:v>0</x:v>
      </x:c>
      <x:c r="P8" s="379" t="n">
        <x:f>IF(P$4=Assumptions!$B$31,Assumptions!$B$30,0)</x:f>
        <x:v>0</x:v>
      </x:c>
      <x:c r="Q8" s="379" t="n">
        <x:f>IF(Q$4=Assumptions!$B$31,Assumptions!$B$30,0)</x:f>
        <x:v>0</x:v>
      </x:c>
      <x:c r="R8" s="379" t="n">
        <x:f>IF(R$4=Assumptions!$B$31,Assumptions!$B$30,0)</x:f>
        <x:v>0</x:v>
      </x:c>
      <x:c r="S8" s="379" t="n">
        <x:f>IF(S$4=Assumptions!$B$31,Assumptions!$B$30,0)</x:f>
        <x:v>0</x:v>
      </x:c>
      <x:c r="T8" s="379" t="n">
        <x:f>IF(T$4=Assumptions!$B$31,Assumptions!$B$30,0)</x:f>
        <x:v>0</x:v>
      </x:c>
      <x:c r="U8" s="379" t="n">
        <x:f>IF(U$4=Assumptions!$B$31,Assumptions!$B$30,0)</x:f>
        <x:v>0</x:v>
      </x:c>
      <x:c r="V8" s="379" t="n">
        <x:f>IF(V$4=Assumptions!$B$31,Assumptions!$B$30,0)</x:f>
        <x:v>0</x:v>
      </x:c>
      <x:c r="W8" s="227"/>
      <x:c r="X8" s="376" t="str">
        <x:v>Final active machines</x:v>
      </x:c>
      <x:c r="Y8" s="380" t="n">
        <x:f>V18</x:f>
        <x:v>402</x:v>
      </x:c>
      <x:c r="Z8" s="227"/>
    </x:row>
    <x:row r="9">
      <x:c r="A9" s="327" t="str">
        <x:v>Institutional funding</x:v>
      </x:c>
      <x:c r="B9" s="379" t="n">
        <x:v>0</x:v>
      </x:c>
      <x:c r="C9" s="379" t="n">
        <x:v>0</x:v>
      </x:c>
      <x:c r="D9" s="379" t="n">
        <x:v>0</x:v>
      </x:c>
      <x:c r="E9" s="379" t="n">
        <x:v>0</x:v>
      </x:c>
      <x:c r="F9" s="379" t="n">
        <x:v>0</x:v>
      </x:c>
      <x:c r="G9" s="379" t="n">
        <x:v>0</x:v>
      </x:c>
      <x:c r="H9" s="379" t="n">
        <x:v>0</x:v>
      </x:c>
      <x:c r="I9" s="379" t="n">
        <x:v>0</x:v>
      </x:c>
      <x:c r="J9" s="379" t="n">
        <x:v>0</x:v>
      </x:c>
      <x:c r="K9" s="379" t="n">
        <x:v>0</x:v>
      </x:c>
      <x:c r="L9" s="379" t="n">
        <x:v>0</x:v>
      </x:c>
      <x:c r="M9" s="379" t="n">
        <x:v>0</x:v>
      </x:c>
      <x:c r="N9" s="379" t="n">
        <x:v>0</x:v>
      </x:c>
      <x:c r="O9" s="379" t="n">
        <x:v>0</x:v>
      </x:c>
      <x:c r="P9" s="379" t="n">
        <x:v>0</x:v>
      </x:c>
      <x:c r="Q9" s="379" t="n">
        <x:v>0</x:v>
      </x:c>
      <x:c r="R9" s="379" t="n">
        <x:v>0</x:v>
      </x:c>
      <x:c r="S9" s="379" t="n">
        <x:v>0</x:v>
      </x:c>
      <x:c r="T9" s="379" t="n">
        <x:v>0</x:v>
      </x:c>
      <x:c r="U9" s="379" t="n">
        <x:v>0</x:v>
      </x:c>
      <x:c r="V9" s="379" t="n">
        <x:v>0</x:v>
      </x:c>
      <x:c r="W9" s="227"/>
      <x:c r="X9" s="376" t="str">
        <x:v>Total machines ordered</x:v>
      </x:c>
      <x:c r="Y9" s="380" t="n">
        <x:f>SUM(B10:V10)</x:f>
        <x:v>800</x:v>
      </x:c>
      <x:c r="Z9" s="227"/>
    </x:row>
    <x:row r="10">
      <x:c r="A10" s="327" t="str">
        <x:v>Machine orders (input)</x:v>
      </x:c>
      <x:c r="B10" s="381" t="n">
        <x:v>0</x:v>
      </x:c>
      <x:c r="C10" s="381" t="n">
        <x:v>0</x:v>
      </x:c>
      <x:c r="D10" s="381" t="n">
        <x:v>30</x:v>
      </x:c>
      <x:c r="E10" s="381" t="n">
        <x:v>0</x:v>
      </x:c>
      <x:c r="F10" s="381" t="n">
        <x:v>0</x:v>
      </x:c>
      <x:c r="G10" s="381" t="n">
        <x:v>0</x:v>
      </x:c>
      <x:c r="H10" s="381" t="n">
        <x:v>0</x:v>
      </x:c>
      <x:c r="I10" s="381" t="n">
        <x:v>0</x:v>
      </x:c>
      <x:c r="J10" s="381" t="n">
        <x:v>0</x:v>
      </x:c>
      <x:c r="K10" s="381" t="n">
        <x:v>40</x:v>
      </x:c>
      <x:c r="L10" s="381" t="n">
        <x:v>0</x:v>
      </x:c>
      <x:c r="M10" s="381" t="n">
        <x:v>60</x:v>
      </x:c>
      <x:c r="N10" s="381" t="n">
        <x:v>0</x:v>
      </x:c>
      <x:c r="O10" s="381" t="n">
        <x:v>70</x:v>
      </x:c>
      <x:c r="P10" s="381" t="n">
        <x:v>0</x:v>
      </x:c>
      <x:c r="Q10" s="381" t="n">
        <x:v>200</x:v>
      </x:c>
      <x:c r="R10" s="381" t="n">
        <x:v>0</x:v>
      </x:c>
      <x:c r="S10" s="381" t="n">
        <x:v>400</x:v>
      </x:c>
      <x:c r="T10" s="381" t="n">
        <x:v>0</x:v>
      </x:c>
      <x:c r="U10" s="381" t="n">
        <x:v>0</x:v>
      </x:c>
      <x:c r="V10" s="381" t="n">
        <x:v>0</x:v>
      </x:c>
      <x:c r="W10" s="227"/>
      <x:c r="X10" s="376" t="str">
        <x:v>Club campaigns delivered</x:v>
      </x:c>
      <x:c r="Y10" s="380" t="n">
        <x:f>SUM(B46:V46)</x:f>
        <x:v>5</x:v>
      </x:c>
      <x:c r="Z10" s="227"/>
    </x:row>
    <x:row r="11">
      <x:c r="A11" s="327" t="str">
        <x:v>Cumulative machines ordered</x:v>
      </x:c>
      <x:c r="B11" s="382" t="n">
        <x:f>SUM($B10:B10)</x:f>
        <x:v>0</x:v>
      </x:c>
      <x:c r="C11" s="382" t="n">
        <x:f>SUM($B10:C10)</x:f>
        <x:v>0</x:v>
      </x:c>
      <x:c r="D11" s="382" t="n">
        <x:f>SUM($B10:D10)</x:f>
        <x:v>30</x:v>
      </x:c>
      <x:c r="E11" s="382" t="n">
        <x:f>SUM($B10:E10)</x:f>
        <x:v>30</x:v>
      </x:c>
      <x:c r="F11" s="382" t="n">
        <x:f>SUM($B10:F10)</x:f>
        <x:v>30</x:v>
      </x:c>
      <x:c r="G11" s="382" t="n">
        <x:f>SUM($B10:G10)</x:f>
        <x:v>30</x:v>
      </x:c>
      <x:c r="H11" s="382" t="n">
        <x:f>SUM($B10:H10)</x:f>
        <x:v>30</x:v>
      </x:c>
      <x:c r="I11" s="382" t="n">
        <x:f>SUM($B10:I10)</x:f>
        <x:v>30</x:v>
      </x:c>
      <x:c r="J11" s="382" t="n">
        <x:f>SUM($B10:J10)</x:f>
        <x:v>30</x:v>
      </x:c>
      <x:c r="K11" s="382" t="n">
        <x:f>SUM($B10:K10)</x:f>
        <x:v>70</x:v>
      </x:c>
      <x:c r="L11" s="382" t="n">
        <x:f>SUM($B10:L10)</x:f>
        <x:v>70</x:v>
      </x:c>
      <x:c r="M11" s="382" t="n">
        <x:f>SUM($B10:M10)</x:f>
        <x:v>130</x:v>
      </x:c>
      <x:c r="N11" s="382" t="n">
        <x:f>SUM($B10:N10)</x:f>
        <x:v>130</x:v>
      </x:c>
      <x:c r="O11" s="382" t="n">
        <x:f>SUM($B10:O10)</x:f>
        <x:v>200</x:v>
      </x:c>
      <x:c r="P11" s="382" t="n">
        <x:f>SUM($B10:P10)</x:f>
        <x:v>200</x:v>
      </x:c>
      <x:c r="Q11" s="382" t="n">
        <x:f>SUM($B10:Q10)</x:f>
        <x:v>400</x:v>
      </x:c>
      <x:c r="R11" s="382" t="n">
        <x:f>SUM($B10:R10)</x:f>
        <x:v>400</x:v>
      </x:c>
      <x:c r="S11" s="382" t="n">
        <x:f>SUM($B10:S10)</x:f>
        <x:v>800</x:v>
      </x:c>
      <x:c r="T11" s="382" t="n">
        <x:f>SUM($B10:T10)</x:f>
        <x:v>800</x:v>
      </x:c>
      <x:c r="U11" s="382" t="n">
        <x:f>SUM($B10:U10)</x:f>
        <x:v>800</x:v>
      </x:c>
      <x:c r="V11" s="382" t="n">
        <x:f>SUM($B10:V10)</x:f>
        <x:v>800</x:v>
      </x:c>
      <x:c r="W11" s="227"/>
      <x:c r="X11" s="376" t="str">
        <x:v>Club contribution</x:v>
      </x:c>
      <x:c r="Y11" s="377" t="n">
        <x:f>SUM(B55:V55)</x:f>
        <x:v>387000</x:v>
      </x:c>
      <x:c r="Z11" s="227"/>
    </x:row>
    <x:row r="12">
      <x:c r="A12" s="327" t="str">
        <x:v>Machine deposit cash (25%)</x:v>
      </x:c>
      <x:c r="B12" s="379" t="n">
        <x:f>B10*Assumptions!$B$37*Assumptions!$B$84</x:f>
        <x:v>0</x:v>
      </x:c>
      <x:c r="C12" s="379" t="n">
        <x:f>C10*Assumptions!$B$37*Assumptions!$B$84</x:f>
        <x:v>0</x:v>
      </x:c>
      <x:c r="D12" s="379" t="n">
        <x:f>D10*Assumptions!$B$37*Assumptions!$B$84</x:f>
        <x:v>20757.500000000004</x:v>
      </x:c>
      <x:c r="E12" s="379" t="n">
        <x:f>E10*Assumptions!$B$37*Assumptions!$B$84</x:f>
        <x:v>0</x:v>
      </x:c>
      <x:c r="F12" s="379" t="n">
        <x:f>F10*Assumptions!$B$37*Assumptions!$B$84</x:f>
        <x:v>0</x:v>
      </x:c>
      <x:c r="G12" s="379" t="n">
        <x:f>G10*Assumptions!$B$37*Assumptions!$B$84</x:f>
        <x:v>0</x:v>
      </x:c>
      <x:c r="H12" s="379" t="n">
        <x:f>H10*Assumptions!$B$37*Assumptions!$B$84</x:f>
        <x:v>0</x:v>
      </x:c>
      <x:c r="I12" s="379" t="n">
        <x:f>I10*Assumptions!$B$37*Assumptions!$B$84</x:f>
        <x:v>0</x:v>
      </x:c>
      <x:c r="J12" s="379" t="n">
        <x:f>J10*Assumptions!$B$37*Assumptions!$B$84</x:f>
        <x:v>0</x:v>
      </x:c>
      <x:c r="K12" s="379" t="n">
        <x:f>K10*Assumptions!$B$37*Assumptions!$B$84</x:f>
        <x:v>27676.66666666667</x:v>
      </x:c>
      <x:c r="L12" s="379" t="n">
        <x:f>L10*Assumptions!$B$37*Assumptions!$B$84</x:f>
        <x:v>0</x:v>
      </x:c>
      <x:c r="M12" s="379" t="n">
        <x:f>M10*Assumptions!$B$37*Assumptions!$B$84</x:f>
        <x:v>41515.00000000001</x:v>
      </x:c>
      <x:c r="N12" s="379" t="n">
        <x:f>N10*Assumptions!$B$37*Assumptions!$B$84</x:f>
        <x:v>0</x:v>
      </x:c>
      <x:c r="O12" s="379" t="n">
        <x:f>O10*Assumptions!$B$37*Assumptions!$B$84</x:f>
        <x:v>48434.16666666667</x:v>
      </x:c>
      <x:c r="P12" s="379" t="n">
        <x:f>P10*Assumptions!$B$37*Assumptions!$B$84</x:f>
        <x:v>0</x:v>
      </x:c>
      <x:c r="Q12" s="379" t="n">
        <x:f>Q10*Assumptions!$B$37*Assumptions!$B$84</x:f>
        <x:v>138383.33333333334</x:v>
      </x:c>
      <x:c r="R12" s="379" t="n">
        <x:f>R10*Assumptions!$B$37*Assumptions!$B$84</x:f>
        <x:v>0</x:v>
      </x:c>
      <x:c r="S12" s="379" t="n">
        <x:f>S10*Assumptions!$B$37*Assumptions!$B$84</x:f>
        <x:v>276766.6666666667</x:v>
      </x:c>
      <x:c r="T12" s="379" t="n">
        <x:f>T10*Assumptions!$B$37*Assumptions!$B$84</x:f>
        <x:v>0</x:v>
      </x:c>
      <x:c r="U12" s="379" t="n">
        <x:f>U10*Assumptions!$B$37*Assumptions!$B$84</x:f>
        <x:v>0</x:v>
      </x:c>
      <x:c r="V12" s="379" t="n">
        <x:f>V10*Assumptions!$B$37*Assumptions!$B$84</x:f>
        <x:v>0</x:v>
      </x:c>
      <x:c r="W12" s="227"/>
      <x:c r="X12" s="383" t="str">
        <x:v>Total funding</x:v>
      </x:c>
      <x:c r="Y12" s="384" t="n">
        <x:f>SUM(B8:V9)</x:f>
        <x:v>230000</x:v>
      </x:c>
      <x:c r="Z12" s="227"/>
    </x:row>
    <x:row r="13">
      <x:c r="A13" s="327" t="str">
        <x:v>Machine balance cash (75%, t+2)</x:v>
      </x:c>
      <x:c r="B13" s="379" t="n">
        <x:f>0</x:f>
        <x:v>0</x:v>
      </x:c>
      <x:c r="C13" s="379" t="n">
        <x:f>0</x:f>
        <x:v>0</x:v>
      </x:c>
      <x:c r="D13" s="379" t="n">
        <x:f>B10*Assumptions!$B$37*Assumptions!$B$85</x:f>
        <x:v>0</x:v>
      </x:c>
      <x:c r="E13" s="379" t="n">
        <x:f>C10*Assumptions!$B$37*Assumptions!$B$85</x:f>
        <x:v>0</x:v>
      </x:c>
      <x:c r="F13" s="379" t="n">
        <x:f>D10*Assumptions!$B$37*Assumptions!$B$85</x:f>
        <x:v>62272.500000000015</x:v>
      </x:c>
      <x:c r="G13" s="379" t="n">
        <x:f>E10*Assumptions!$B$37*Assumptions!$B$85</x:f>
        <x:v>0</x:v>
      </x:c>
      <x:c r="H13" s="379" t="n">
        <x:f>F10*Assumptions!$B$37*Assumptions!$B$85</x:f>
        <x:v>0</x:v>
      </x:c>
      <x:c r="I13" s="379" t="n">
        <x:f>G10*Assumptions!$B$37*Assumptions!$B$85</x:f>
        <x:v>0</x:v>
      </x:c>
      <x:c r="J13" s="379" t="n">
        <x:f>H10*Assumptions!$B$37*Assumptions!$B$85</x:f>
        <x:v>0</x:v>
      </x:c>
      <x:c r="K13" s="379" t="n">
        <x:f>I10*Assumptions!$B$37*Assumptions!$B$85</x:f>
        <x:v>0</x:v>
      </x:c>
      <x:c r="L13" s="379" t="n">
        <x:f>J10*Assumptions!$B$37*Assumptions!$B$85</x:f>
        <x:v>0</x:v>
      </x:c>
      <x:c r="M13" s="379" t="n">
        <x:f>K10*Assumptions!$B$37*Assumptions!$B$85</x:f>
        <x:v>83030.00000000001</x:v>
      </x:c>
      <x:c r="N13" s="379" t="n">
        <x:f>L10*Assumptions!$B$37*Assumptions!$B$85</x:f>
        <x:v>0</x:v>
      </x:c>
      <x:c r="O13" s="379" t="n">
        <x:f>M10*Assumptions!$B$37*Assumptions!$B$85</x:f>
        <x:v>124545.00000000003</x:v>
      </x:c>
      <x:c r="P13" s="379" t="n">
        <x:f>N10*Assumptions!$B$37*Assumptions!$B$85</x:f>
        <x:v>0</x:v>
      </x:c>
      <x:c r="Q13" s="379" t="n">
        <x:f>O10*Assumptions!$B$37*Assumptions!$B$85</x:f>
        <x:v>145302.5</x:v>
      </x:c>
      <x:c r="R13" s="379" t="n">
        <x:f>P10*Assumptions!$B$37*Assumptions!$B$85</x:f>
        <x:v>0</x:v>
      </x:c>
      <x:c r="S13" s="379" t="n">
        <x:f>Q10*Assumptions!$B$37*Assumptions!$B$85</x:f>
        <x:v>415150</x:v>
      </x:c>
      <x:c r="T13" s="379" t="n">
        <x:f>R10*Assumptions!$B$37*Assumptions!$B$85</x:f>
        <x:v>0</x:v>
      </x:c>
      <x:c r="U13" s="379" t="n">
        <x:f>S10*Assumptions!$B$37*Assumptions!$B$85</x:f>
        <x:v>830300</x:v>
      </x:c>
      <x:c r="V13" s="379" t="n">
        <x:f>T10*Assumptions!$B$37*Assumptions!$B$85</x:f>
        <x:v>0</x:v>
      </x:c>
      <x:c r="W13" s="227"/>
      <x:c r="X13" s="227"/>
      <x:c r="Y13" s="227"/>
      <x:c r="Z13" s="227"/>
    </x:row>
    <x:row r="14">
      <x:c r="A14" s="327" t="str">
        <x:v>New commercial machines activated (t+5)</x:v>
      </x:c>
      <x:c r="B14" s="382" t="n">
        <x:f>0</x:f>
        <x:v>0</x:v>
      </x:c>
      <x:c r="C14" s="382" t="n">
        <x:f>0</x:f>
        <x:v>0</x:v>
      </x:c>
      <x:c r="D14" s="382" t="n">
        <x:f>0</x:f>
        <x:v>0</x:v>
      </x:c>
      <x:c r="E14" s="382" t="n">
        <x:f>0</x:f>
        <x:v>0</x:v>
      </x:c>
      <x:c r="F14" s="382" t="n">
        <x:f>0</x:f>
        <x:v>0</x:v>
      </x:c>
      <x:c r="G14" s="382" t="n">
        <x:f>B10</x:f>
        <x:v>0</x:v>
      </x:c>
      <x:c r="H14" s="382" t="n">
        <x:f>C10</x:f>
        <x:v>0</x:v>
      </x:c>
      <x:c r="I14" s="382" t="n">
        <x:f>D10</x:f>
        <x:v>30</x:v>
      </x:c>
      <x:c r="J14" s="382" t="n">
        <x:f>E10</x:f>
        <x:v>0</x:v>
      </x:c>
      <x:c r="K14" s="382" t="n">
        <x:f>F10</x:f>
        <x:v>0</x:v>
      </x:c>
      <x:c r="L14" s="382" t="n">
        <x:f>G10</x:f>
        <x:v>0</x:v>
      </x:c>
      <x:c r="M14" s="382" t="n">
        <x:f>H10</x:f>
        <x:v>0</x:v>
      </x:c>
      <x:c r="N14" s="382" t="n">
        <x:f>I10</x:f>
        <x:v>0</x:v>
      </x:c>
      <x:c r="O14" s="382" t="n">
        <x:f>J10</x:f>
        <x:v>0</x:v>
      </x:c>
      <x:c r="P14" s="382" t="n">
        <x:f>K10</x:f>
        <x:v>40</x:v>
      </x:c>
      <x:c r="Q14" s="382" t="n">
        <x:f>L10</x:f>
        <x:v>0</x:v>
      </x:c>
      <x:c r="R14" s="382" t="n">
        <x:f>M10</x:f>
        <x:v>60</x:v>
      </x:c>
      <x:c r="S14" s="382" t="n">
        <x:f>N10</x:f>
        <x:v>0</x:v>
      </x:c>
      <x:c r="T14" s="382" t="n">
        <x:f>O10</x:f>
        <x:v>70</x:v>
      </x:c>
      <x:c r="U14" s="382" t="n">
        <x:f>P10</x:f>
        <x:v>0</x:v>
      </x:c>
      <x:c r="V14" s="382" t="n">
        <x:f>Q10</x:f>
        <x:v>200</x:v>
      </x:c>
      <x:c r="W14" s="227"/>
      <x:c r="X14" s="227"/>
      <x:c r="Y14" s="227"/>
      <x:c r="Z14" s="227"/>
    </x:row>
    <x:row r="15">
      <x:c r="A15" s="327" t="str">
        <x:v>Active commercial machines</x:v>
      </x:c>
      <x:c r="B15" s="382" t="n">
        <x:f>B14</x:f>
        <x:v>0</x:v>
      </x:c>
      <x:c r="C15" s="382" t="n">
        <x:f>B15+C14</x:f>
        <x:v>0</x:v>
      </x:c>
      <x:c r="D15" s="382" t="n">
        <x:f>C15+D14</x:f>
        <x:v>0</x:v>
      </x:c>
      <x:c r="E15" s="382" t="n">
        <x:f>D15+E14</x:f>
        <x:v>0</x:v>
      </x:c>
      <x:c r="F15" s="382" t="n">
        <x:f>E15+F14</x:f>
        <x:v>0</x:v>
      </x:c>
      <x:c r="G15" s="382" t="n">
        <x:f>F15+G14</x:f>
        <x:v>0</x:v>
      </x:c>
      <x:c r="H15" s="382" t="n">
        <x:f>G15+H14</x:f>
        <x:v>0</x:v>
      </x:c>
      <x:c r="I15" s="382" t="n">
        <x:f>H15+I14</x:f>
        <x:v>30</x:v>
      </x:c>
      <x:c r="J15" s="382" t="n">
        <x:f>I15+J14</x:f>
        <x:v>30</x:v>
      </x:c>
      <x:c r="K15" s="382" t="n">
        <x:f>J15+K14</x:f>
        <x:v>30</x:v>
      </x:c>
      <x:c r="L15" s="382" t="n">
        <x:f>K15+L14</x:f>
        <x:v>30</x:v>
      </x:c>
      <x:c r="M15" s="382" t="n">
        <x:f>L15+M14</x:f>
        <x:v>30</x:v>
      </x:c>
      <x:c r="N15" s="382" t="n">
        <x:f>M15+N14</x:f>
        <x:v>30</x:v>
      </x:c>
      <x:c r="O15" s="382" t="n">
        <x:f>N15+O14</x:f>
        <x:v>30</x:v>
      </x:c>
      <x:c r="P15" s="382" t="n">
        <x:f>O15+P14</x:f>
        <x:v>70</x:v>
      </x:c>
      <x:c r="Q15" s="382" t="n">
        <x:f>P15+Q14</x:f>
        <x:v>70</x:v>
      </x:c>
      <x:c r="R15" s="382" t="n">
        <x:f>Q15+R14</x:f>
        <x:v>130</x:v>
      </x:c>
      <x:c r="S15" s="382" t="n">
        <x:f>R15+S14</x:f>
        <x:v>130</x:v>
      </x:c>
      <x:c r="T15" s="382" t="n">
        <x:f>S15+T14</x:f>
        <x:v>200</x:v>
      </x:c>
      <x:c r="U15" s="382" t="n">
        <x:f>T15+U14</x:f>
        <x:v>200</x:v>
      </x:c>
      <x:c r="V15" s="382" t="n">
        <x:f>U15+V14</x:f>
        <x:v>400</x:v>
      </x:c>
      <x:c r="W15" s="227"/>
      <x:c r="X15" s="227"/>
      <x:c r="Y15" s="227"/>
      <x:c r="Z15" s="227"/>
    </x:row>
    <x:row r="16">
      <x:c r="A16" s="327" t="str">
        <x:v>Commercial sales-equivalent machines</x:v>
      </x:c>
      <x:c r="B16" s="382" t="n">
        <x:f>B15-(1-Assumptions!$B$9)*B14</x:f>
        <x:v>0</x:v>
      </x:c>
      <x:c r="C16" s="382" t="n">
        <x:f>C15-(1-Assumptions!$B$9)*C14</x:f>
        <x:v>0</x:v>
      </x:c>
      <x:c r="D16" s="382" t="n">
        <x:f>D15-(1-Assumptions!$B$9)*D14</x:f>
        <x:v>0</x:v>
      </x:c>
      <x:c r="E16" s="382" t="n">
        <x:f>E15-(1-Assumptions!$B$9)*E14</x:f>
        <x:v>0</x:v>
      </x:c>
      <x:c r="F16" s="382" t="n">
        <x:f>F15-(1-Assumptions!$B$9)*F14</x:f>
        <x:v>0</x:v>
      </x:c>
      <x:c r="G16" s="382" t="n">
        <x:f>G15-(1-Assumptions!$B$9)*G14</x:f>
        <x:v>0</x:v>
      </x:c>
      <x:c r="H16" s="382" t="n">
        <x:f>H15-(1-Assumptions!$B$9)*H14</x:f>
        <x:v>0</x:v>
      </x:c>
      <x:c r="I16" s="382" t="n">
        <x:f>I15-(1-Assumptions!$B$9)*I14</x:f>
        <x:v>22.5</x:v>
      </x:c>
      <x:c r="J16" s="382" t="n">
        <x:f>J15-(1-Assumptions!$B$9)*J14</x:f>
        <x:v>30</x:v>
      </x:c>
      <x:c r="K16" s="382" t="n">
        <x:f>K15-(1-Assumptions!$B$9)*K14</x:f>
        <x:v>30</x:v>
      </x:c>
      <x:c r="L16" s="382" t="n">
        <x:f>L15-(1-Assumptions!$B$9)*L14</x:f>
        <x:v>30</x:v>
      </x:c>
      <x:c r="M16" s="382" t="n">
        <x:f>M15-(1-Assumptions!$B$9)*M14</x:f>
        <x:v>30</x:v>
      </x:c>
      <x:c r="N16" s="382" t="n">
        <x:f>N15-(1-Assumptions!$B$9)*N14</x:f>
        <x:v>30</x:v>
      </x:c>
      <x:c r="O16" s="382" t="n">
        <x:f>O15-(1-Assumptions!$B$9)*O14</x:f>
        <x:v>30</x:v>
      </x:c>
      <x:c r="P16" s="382" t="n">
        <x:f>P15-(1-Assumptions!$B$9)*P14</x:f>
        <x:v>60</x:v>
      </x:c>
      <x:c r="Q16" s="382" t="n">
        <x:f>Q15-(1-Assumptions!$B$9)*Q14</x:f>
        <x:v>70</x:v>
      </x:c>
      <x:c r="R16" s="382" t="n">
        <x:f>R15-(1-Assumptions!$B$9)*R14</x:f>
        <x:v>115</x:v>
      </x:c>
      <x:c r="S16" s="382" t="n">
        <x:f>S15-(1-Assumptions!$B$9)*S14</x:f>
        <x:v>130</x:v>
      </x:c>
      <x:c r="T16" s="382" t="n">
        <x:f>T15-(1-Assumptions!$B$9)*T14</x:f>
        <x:v>182.5</x:v>
      </x:c>
      <x:c r="U16" s="382" t="n">
        <x:f>U15-(1-Assumptions!$B$9)*U14</x:f>
        <x:v>200</x:v>
      </x:c>
      <x:c r="V16" s="382" t="n">
        <x:f>V15-(1-Assumptions!$B$9)*V14</x:f>
        <x:v>350</x:v>
      </x:c>
      <x:c r="W16" s="227"/>
      <x:c r="X16" s="227"/>
      <x:c r="Y16" s="227"/>
      <x:c r="Z16" s="227"/>
    </x:row>
    <x:row r="17">
      <x:c r="A17" s="327" t="str">
        <x:v>Pilot sales-equivalent machines</x:v>
      </x:c>
      <x:c r="B17" s="382" t="n">
        <x:f>IF(B$4&lt;Assumptions!$B$20,0,IF(B$4=Assumptions!$B$20,(Assumptions!$B$28+Assumptions!$B$29)*Assumptions!$B$10,Assumptions!$B$28+Assumptions!$B$29))</x:f>
        <x:v>0</x:v>
      </x:c>
      <x:c r="C17" s="382" t="n">
        <x:f>IF(C$4&lt;Assumptions!$B$20,0,IF(C$4=Assumptions!$B$20,(Assumptions!$B$28+Assumptions!$B$29)*Assumptions!$B$10,Assumptions!$B$28+Assumptions!$B$29))</x:f>
        <x:v>0</x:v>
      </x:c>
      <x:c r="D17" s="382" t="n">
        <x:f>IF(D$4&lt;Assumptions!$B$20,0,IF(D$4=Assumptions!$B$20,(Assumptions!$B$28+Assumptions!$B$29)*Assumptions!$B$10,Assumptions!$B$28+Assumptions!$B$29))</x:f>
        <x:v>1</x:v>
      </x:c>
      <x:c r="E17" s="382" t="n">
        <x:f>IF(E$4&lt;Assumptions!$B$20,0,IF(E$4=Assumptions!$B$20,(Assumptions!$B$28+Assumptions!$B$29)*Assumptions!$B$10,Assumptions!$B$28+Assumptions!$B$29))</x:f>
        <x:v>2</x:v>
      </x:c>
      <x:c r="F17" s="382" t="n">
        <x:f>IF(F$4&lt;Assumptions!$B$20,0,IF(F$4=Assumptions!$B$20,(Assumptions!$B$28+Assumptions!$B$29)*Assumptions!$B$10,Assumptions!$B$28+Assumptions!$B$29))</x:f>
        <x:v>2</x:v>
      </x:c>
      <x:c r="G17" s="382" t="n">
        <x:f>IF(G$4&lt;Assumptions!$B$20,0,IF(G$4=Assumptions!$B$20,(Assumptions!$B$28+Assumptions!$B$29)*Assumptions!$B$10,Assumptions!$B$28+Assumptions!$B$29))</x:f>
        <x:v>2</x:v>
      </x:c>
      <x:c r="H17" s="382" t="n">
        <x:f>IF(H$4&lt;Assumptions!$B$20,0,IF(H$4=Assumptions!$B$20,(Assumptions!$B$28+Assumptions!$B$29)*Assumptions!$B$10,Assumptions!$B$28+Assumptions!$B$29))</x:f>
        <x:v>2</x:v>
      </x:c>
      <x:c r="I17" s="382" t="n">
        <x:f>IF(I$4&lt;Assumptions!$B$20,0,IF(I$4=Assumptions!$B$20,(Assumptions!$B$28+Assumptions!$B$29)*Assumptions!$B$10,Assumptions!$B$28+Assumptions!$B$29))</x:f>
        <x:v>2</x:v>
      </x:c>
      <x:c r="J17" s="382" t="n">
        <x:f>IF(J$4&lt;Assumptions!$B$20,0,IF(J$4=Assumptions!$B$20,(Assumptions!$B$28+Assumptions!$B$29)*Assumptions!$B$10,Assumptions!$B$28+Assumptions!$B$29))</x:f>
        <x:v>2</x:v>
      </x:c>
      <x:c r="K17" s="382" t="n">
        <x:f>IF(K$4&lt;Assumptions!$B$20,0,IF(K$4=Assumptions!$B$20,(Assumptions!$B$28+Assumptions!$B$29)*Assumptions!$B$10,Assumptions!$B$28+Assumptions!$B$29))</x:f>
        <x:v>2</x:v>
      </x:c>
      <x:c r="L17" s="382" t="n">
        <x:f>IF(L$4&lt;Assumptions!$B$20,0,IF(L$4=Assumptions!$B$20,(Assumptions!$B$28+Assumptions!$B$29)*Assumptions!$B$10,Assumptions!$B$28+Assumptions!$B$29))</x:f>
        <x:v>2</x:v>
      </x:c>
      <x:c r="M17" s="382" t="n">
        <x:f>IF(M$4&lt;Assumptions!$B$20,0,IF(M$4=Assumptions!$B$20,(Assumptions!$B$28+Assumptions!$B$29)*Assumptions!$B$10,Assumptions!$B$28+Assumptions!$B$29))</x:f>
        <x:v>2</x:v>
      </x:c>
      <x:c r="N17" s="382" t="n">
        <x:f>IF(N$4&lt;Assumptions!$B$20,0,IF(N$4=Assumptions!$B$20,(Assumptions!$B$28+Assumptions!$B$29)*Assumptions!$B$10,Assumptions!$B$28+Assumptions!$B$29))</x:f>
        <x:v>2</x:v>
      </x:c>
      <x:c r="O17" s="382" t="n">
        <x:f>IF(O$4&lt;Assumptions!$B$20,0,IF(O$4=Assumptions!$B$20,(Assumptions!$B$28+Assumptions!$B$29)*Assumptions!$B$10,Assumptions!$B$28+Assumptions!$B$29))</x:f>
        <x:v>2</x:v>
      </x:c>
      <x:c r="P17" s="382" t="n">
        <x:f>IF(P$4&lt;Assumptions!$B$20,0,IF(P$4=Assumptions!$B$20,(Assumptions!$B$28+Assumptions!$B$29)*Assumptions!$B$10,Assumptions!$B$28+Assumptions!$B$29))</x:f>
        <x:v>2</x:v>
      </x:c>
      <x:c r="Q17" s="382" t="n">
        <x:f>IF(Q$4&lt;Assumptions!$B$20,0,IF(Q$4=Assumptions!$B$20,(Assumptions!$B$28+Assumptions!$B$29)*Assumptions!$B$10,Assumptions!$B$28+Assumptions!$B$29))</x:f>
        <x:v>2</x:v>
      </x:c>
      <x:c r="R17" s="382" t="n">
        <x:f>IF(R$4&lt;Assumptions!$B$20,0,IF(R$4=Assumptions!$B$20,(Assumptions!$B$28+Assumptions!$B$29)*Assumptions!$B$10,Assumptions!$B$28+Assumptions!$B$29))</x:f>
        <x:v>2</x:v>
      </x:c>
      <x:c r="S17" s="382" t="n">
        <x:f>IF(S$4&lt;Assumptions!$B$20,0,IF(S$4=Assumptions!$B$20,(Assumptions!$B$28+Assumptions!$B$29)*Assumptions!$B$10,Assumptions!$B$28+Assumptions!$B$29))</x:f>
        <x:v>2</x:v>
      </x:c>
      <x:c r="T17" s="382" t="n">
        <x:f>IF(T$4&lt;Assumptions!$B$20,0,IF(T$4=Assumptions!$B$20,(Assumptions!$B$28+Assumptions!$B$29)*Assumptions!$B$10,Assumptions!$B$28+Assumptions!$B$29))</x:f>
        <x:v>2</x:v>
      </x:c>
      <x:c r="U17" s="382" t="n">
        <x:f>IF(U$4&lt;Assumptions!$B$20,0,IF(U$4=Assumptions!$B$20,(Assumptions!$B$28+Assumptions!$B$29)*Assumptions!$B$10,Assumptions!$B$28+Assumptions!$B$29))</x:f>
        <x:v>2</x:v>
      </x:c>
      <x:c r="V17" s="382" t="n">
        <x:f>IF(V$4&lt;Assumptions!$B$20,0,IF(V$4=Assumptions!$B$20,(Assumptions!$B$28+Assumptions!$B$29)*Assumptions!$B$10,Assumptions!$B$28+Assumptions!$B$29))</x:f>
        <x:v>2</x:v>
      </x:c>
      <x:c r="W17" s="227"/>
      <x:c r="X17" s="227"/>
      <x:c r="Y17" s="227"/>
      <x:c r="Z17" s="227"/>
    </x:row>
    <x:row r="18">
      <x:c r="A18" s="327" t="str">
        <x:v>Total active physical machines</x:v>
      </x:c>
      <x:c r="B18" s="382" t="n">
        <x:f>B15+IF(B$4&gt;=Assumptions!$B$20,Assumptions!$B$28+Assumptions!$B$29,0)</x:f>
        <x:v>0</x:v>
      </x:c>
      <x:c r="C18" s="382" t="n">
        <x:f>C15+IF(C$4&gt;=Assumptions!$B$20,Assumptions!$B$28+Assumptions!$B$29,0)</x:f>
        <x:v>0</x:v>
      </x:c>
      <x:c r="D18" s="382" t="n">
        <x:f>D15+IF(D$4&gt;=Assumptions!$B$20,Assumptions!$B$28+Assumptions!$B$29,0)</x:f>
        <x:v>2</x:v>
      </x:c>
      <x:c r="E18" s="382" t="n">
        <x:f>E15+IF(E$4&gt;=Assumptions!$B$20,Assumptions!$B$28+Assumptions!$B$29,0)</x:f>
        <x:v>2</x:v>
      </x:c>
      <x:c r="F18" s="382" t="n">
        <x:f>F15+IF(F$4&gt;=Assumptions!$B$20,Assumptions!$B$28+Assumptions!$B$29,0)</x:f>
        <x:v>2</x:v>
      </x:c>
      <x:c r="G18" s="382" t="n">
        <x:f>G15+IF(G$4&gt;=Assumptions!$B$20,Assumptions!$B$28+Assumptions!$B$29,0)</x:f>
        <x:v>2</x:v>
      </x:c>
      <x:c r="H18" s="382" t="n">
        <x:f>H15+IF(H$4&gt;=Assumptions!$B$20,Assumptions!$B$28+Assumptions!$B$29,0)</x:f>
        <x:v>2</x:v>
      </x:c>
      <x:c r="I18" s="382" t="n">
        <x:f>I15+IF(I$4&gt;=Assumptions!$B$20,Assumptions!$B$28+Assumptions!$B$29,0)</x:f>
        <x:v>32</x:v>
      </x:c>
      <x:c r="J18" s="382" t="n">
        <x:f>J15+IF(J$4&gt;=Assumptions!$B$20,Assumptions!$B$28+Assumptions!$B$29,0)</x:f>
        <x:v>32</x:v>
      </x:c>
      <x:c r="K18" s="382" t="n">
        <x:f>K15+IF(K$4&gt;=Assumptions!$B$20,Assumptions!$B$28+Assumptions!$B$29,0)</x:f>
        <x:v>32</x:v>
      </x:c>
      <x:c r="L18" s="382" t="n">
        <x:f>L15+IF(L$4&gt;=Assumptions!$B$20,Assumptions!$B$28+Assumptions!$B$29,0)</x:f>
        <x:v>32</x:v>
      </x:c>
      <x:c r="M18" s="382" t="n">
        <x:f>M15+IF(M$4&gt;=Assumptions!$B$20,Assumptions!$B$28+Assumptions!$B$29,0)</x:f>
        <x:v>32</x:v>
      </x:c>
      <x:c r="N18" s="382" t="n">
        <x:f>N15+IF(N$4&gt;=Assumptions!$B$20,Assumptions!$B$28+Assumptions!$B$29,0)</x:f>
        <x:v>32</x:v>
      </x:c>
      <x:c r="O18" s="382" t="n">
        <x:f>O15+IF(O$4&gt;=Assumptions!$B$20,Assumptions!$B$28+Assumptions!$B$29,0)</x:f>
        <x:v>32</x:v>
      </x:c>
      <x:c r="P18" s="382" t="n">
        <x:f>P15+IF(P$4&gt;=Assumptions!$B$20,Assumptions!$B$28+Assumptions!$B$29,0)</x:f>
        <x:v>72</x:v>
      </x:c>
      <x:c r="Q18" s="382" t="n">
        <x:f>Q15+IF(Q$4&gt;=Assumptions!$B$20,Assumptions!$B$28+Assumptions!$B$29,0)</x:f>
        <x:v>72</x:v>
      </x:c>
      <x:c r="R18" s="382" t="n">
        <x:f>R15+IF(R$4&gt;=Assumptions!$B$20,Assumptions!$B$28+Assumptions!$B$29,0)</x:f>
        <x:v>132</x:v>
      </x:c>
      <x:c r="S18" s="382" t="n">
        <x:f>S15+IF(S$4&gt;=Assumptions!$B$20,Assumptions!$B$28+Assumptions!$B$29,0)</x:f>
        <x:v>132</x:v>
      </x:c>
      <x:c r="T18" s="382" t="n">
        <x:f>T15+IF(T$4&gt;=Assumptions!$B$20,Assumptions!$B$28+Assumptions!$B$29,0)</x:f>
        <x:v>202</x:v>
      </x:c>
      <x:c r="U18" s="382" t="n">
        <x:f>U15+IF(U$4&gt;=Assumptions!$B$20,Assumptions!$B$28+Assumptions!$B$29,0)</x:f>
        <x:v>202</x:v>
      </x:c>
      <x:c r="V18" s="382" t="n">
        <x:f>V15+IF(V$4&gt;=Assumptions!$B$20,Assumptions!$B$28+Assumptions!$B$29,0)</x:f>
        <x:v>402</x:v>
      </x:c>
      <x:c r="W18" s="227"/>
      <x:c r="X18" s="227"/>
      <x:c r="Y18" s="227"/>
      <x:c r="Z18" s="227"/>
    </x:row>
    <x:row r="19">
      <x:c r="A19" s="327" t="str">
        <x:v>Fixed OPEX (revenue-gated)</x:v>
      </x:c>
      <x:c r="B19" s="379" t="n">
        <x:f>'Personnel &amp; OPEX'!B26</x:f>
        <x:v>0</x:v>
      </x:c>
      <x:c r="C19" s="379" t="n">
        <x:f>'Personnel &amp; OPEX'!C26</x:f>
        <x:v>15700</x:v>
      </x:c>
      <x:c r="D19" s="379" t="n">
        <x:f>'Personnel &amp; OPEX'!D26</x:f>
        <x:v>15700</x:v>
      </x:c>
      <x:c r="E19" s="379" t="n">
        <x:f>'Personnel &amp; OPEX'!E26</x:f>
        <x:v>15700</x:v>
      </x:c>
      <x:c r="F19" s="379" t="n">
        <x:f>'Personnel &amp; OPEX'!F26</x:f>
        <x:v>15700</x:v>
      </x:c>
      <x:c r="G19" s="379" t="n">
        <x:f>'Personnel &amp; OPEX'!G26</x:f>
        <x:v>15700</x:v>
      </x:c>
      <x:c r="H19" s="379" t="n">
        <x:f>'Personnel &amp; OPEX'!H26</x:f>
        <x:v>15700</x:v>
      </x:c>
      <x:c r="I19" s="379" t="n">
        <x:f>'Personnel &amp; OPEX'!I26</x:f>
        <x:v>15700</x:v>
      </x:c>
      <x:c r="J19" s="379" t="n">
        <x:f>'Personnel &amp; OPEX'!J26</x:f>
        <x:v>15700</x:v>
      </x:c>
      <x:c r="K19" s="379" t="n">
        <x:f>'Personnel &amp; OPEX'!K26</x:f>
        <x:v>15700</x:v>
      </x:c>
      <x:c r="L19" s="379" t="n">
        <x:f>'Personnel &amp; OPEX'!L26</x:f>
        <x:v>15700</x:v>
      </x:c>
      <x:c r="M19" s="379" t="n">
        <x:f>'Personnel &amp; OPEX'!M26</x:f>
        <x:v>15700</x:v>
      </x:c>
      <x:c r="N19" s="379" t="n">
        <x:f>'Personnel &amp; OPEX'!N26</x:f>
        <x:v>15700</x:v>
      </x:c>
      <x:c r="O19" s="379" t="n">
        <x:f>'Personnel &amp; OPEX'!O26</x:f>
        <x:v>15700</x:v>
      </x:c>
      <x:c r="P19" s="379" t="n">
        <x:f>'Personnel &amp; OPEX'!P26</x:f>
        <x:v>30000</x:v>
      </x:c>
      <x:c r="Q19" s="379" t="n">
        <x:f>'Personnel &amp; OPEX'!Q26</x:f>
        <x:v>30000</x:v>
      </x:c>
      <x:c r="R19" s="379" t="n">
        <x:f>'Personnel &amp; OPEX'!R26</x:f>
        <x:v>60000</x:v>
      </x:c>
      <x:c r="S19" s="379" t="n">
        <x:f>'Personnel &amp; OPEX'!S26</x:f>
        <x:v>60000</x:v>
      </x:c>
      <x:c r="T19" s="379" t="n">
        <x:f>'Personnel &amp; OPEX'!T26</x:f>
        <x:v>110000</x:v>
      </x:c>
      <x:c r="U19" s="379" t="n">
        <x:f>'Personnel &amp; OPEX'!U26</x:f>
        <x:v>110000</x:v>
      </x:c>
      <x:c r="V19" s="379" t="n">
        <x:f>'Personnel &amp; OPEX'!V26</x:f>
        <x:v>235000</x:v>
      </x:c>
      <x:c r="W19" s="227"/>
      <x:c r="X19" s="227"/>
      <x:c r="Y19" s="227"/>
      <x:c r="Z19" s="227"/>
    </x:row>
    <x:row r="20">
      <x:c r="A20" s="327"/>
      <x:c r="B20" s="385"/>
      <x:c r="C20" s="385"/>
      <x:c r="D20" s="385"/>
      <x:c r="E20" s="385"/>
      <x:c r="F20" s="385"/>
      <x:c r="G20" s="385"/>
      <x:c r="H20" s="385"/>
      <x:c r="I20" s="385"/>
      <x:c r="J20" s="385"/>
      <x:c r="K20" s="385"/>
      <x:c r="L20" s="385"/>
      <x:c r="M20" s="385"/>
      <x:c r="N20" s="385"/>
      <x:c r="O20" s="385"/>
      <x:c r="P20" s="385"/>
      <x:c r="Q20" s="385"/>
      <x:c r="R20" s="385"/>
      <x:c r="S20" s="385"/>
      <x:c r="T20" s="385"/>
      <x:c r="U20" s="385"/>
      <x:c r="V20" s="385"/>
      <x:c r="W20" s="227"/>
      <x:c r="X20" s="227"/>
      <x:c r="Y20" s="227"/>
      <x:c r="Z20" s="227"/>
    </x:row>
    <x:row r="21" ht="23" customHeight="1">
      <x:c r="A21" s="335" t="str">
        <x:v>VENDING OPERATIONS</x:v>
      </x:c>
      <x:c r="B21" s="386" t="str">
        <x:v>VENDING OPERATIONS</x:v>
      </x:c>
      <x:c r="C21" s="386" t="str">
        <x:v>VENDING OPERATIONS</x:v>
      </x:c>
      <x:c r="D21" s="386" t="str">
        <x:v>VENDING OPERATIONS</x:v>
      </x:c>
      <x:c r="E21" s="386" t="str">
        <x:v>VENDING OPERATIONS</x:v>
      </x:c>
      <x:c r="F21" s="386" t="str">
        <x:v>VENDING OPERATIONS</x:v>
      </x:c>
      <x:c r="G21" s="386" t="str">
        <x:v>VENDING OPERATIONS</x:v>
      </x:c>
      <x:c r="H21" s="386" t="str">
        <x:v>VENDING OPERATIONS</x:v>
      </x:c>
      <x:c r="I21" s="386" t="str">
        <x:v>VENDING OPERATIONS</x:v>
      </x:c>
      <x:c r="J21" s="386" t="str">
        <x:v>VENDING OPERATIONS</x:v>
      </x:c>
      <x:c r="K21" s="386" t="str">
        <x:v>VENDING OPERATIONS</x:v>
      </x:c>
      <x:c r="L21" s="386" t="str">
        <x:v>VENDING OPERATIONS</x:v>
      </x:c>
      <x:c r="M21" s="386" t="str">
        <x:v>VENDING OPERATIONS</x:v>
      </x:c>
      <x:c r="N21" s="386" t="str">
        <x:v>VENDING OPERATIONS</x:v>
      </x:c>
      <x:c r="O21" s="386" t="str">
        <x:v>VENDING OPERATIONS</x:v>
      </x:c>
      <x:c r="P21" s="386" t="str">
        <x:v>VENDING OPERATIONS</x:v>
      </x:c>
      <x:c r="Q21" s="386" t="str">
        <x:v>VENDING OPERATIONS</x:v>
      </x:c>
      <x:c r="R21" s="386" t="str">
        <x:v>VENDING OPERATIONS</x:v>
      </x:c>
      <x:c r="S21" s="386" t="str">
        <x:v>VENDING OPERATIONS</x:v>
      </x:c>
      <x:c r="T21" s="386" t="str">
        <x:v>VENDING OPERATIONS</x:v>
      </x:c>
      <x:c r="U21" s="386" t="str">
        <x:v>VENDING OPERATIONS</x:v>
      </x:c>
      <x:c r="V21" s="386" t="str">
        <x:v>VENDING OPERATIONS</x:v>
      </x:c>
      <x:c r="W21" s="227"/>
      <x:c r="X21" s="227"/>
      <x:c r="Y21" s="227"/>
      <x:c r="Z21" s="227"/>
    </x:row>
    <x:row r="22">
      <x:c r="A22" s="327" t="str">
        <x:v>Vending magnets ordered (input)</x:v>
      </x:c>
      <x:c r="B22" s="381" t="n">
        <x:v>0</x:v>
      </x:c>
      <x:c r="C22" s="381" t="n">
        <x:v>0</x:v>
      </x:c>
      <x:c r="D22" s="381" t="n">
        <x:v>30000</x:v>
      </x:c>
      <x:c r="E22" s="381" t="n">
        <x:v>0</x:v>
      </x:c>
      <x:c r="F22" s="381" t="n">
        <x:v>0</x:v>
      </x:c>
      <x:c r="G22" s="381" t="n">
        <x:v>0</x:v>
      </x:c>
      <x:c r="H22" s="381" t="n">
        <x:v>0</x:v>
      </x:c>
      <x:c r="I22" s="381" t="n">
        <x:v>13800</x:v>
      </x:c>
      <x:c r="J22" s="381" t="n">
        <x:v>13800</x:v>
      </x:c>
      <x:c r="K22" s="381" t="n">
        <x:v>13900</x:v>
      </x:c>
      <x:c r="L22" s="381" t="n">
        <x:v>13900</x:v>
      </x:c>
      <x:c r="M22" s="381" t="n">
        <x:v>13900</x:v>
      </x:c>
      <x:c r="N22" s="381" t="n">
        <x:v>29600</x:v>
      </x:c>
      <x:c r="O22" s="381" t="n">
        <x:v>32100</x:v>
      </x:c>
      <x:c r="P22" s="381" t="n">
        <x:v>54800</x:v>
      </x:c>
      <x:c r="Q22" s="381" t="n">
        <x:v>58700</x:v>
      </x:c>
      <x:c r="R22" s="381" t="n">
        <x:v>84800</x:v>
      </x:c>
      <x:c r="S22" s="381" t="n">
        <x:v>89400</x:v>
      </x:c>
      <x:c r="T22" s="381" t="n">
        <x:v>166100</x:v>
      </x:c>
      <x:c r="U22" s="381" t="n">
        <x:v>0</x:v>
      </x:c>
      <x:c r="V22" s="381" t="n">
        <x:v>0</x:v>
      </x:c>
      <x:c r="W22" s="227"/>
      <x:c r="X22" s="227"/>
      <x:c r="Y22" s="227"/>
      <x:c r="Z22" s="227"/>
    </x:row>
    <x:row r="23">
      <x:c r="A23" s="327" t="str">
        <x:v>Magnet deposit cash (25%)</x:v>
      </x:c>
      <x:c r="B23" s="379" t="n">
        <x:f>B22*Assumptions!$B$50*Assumptions!$B$84</x:f>
        <x:v>0</x:v>
      </x:c>
      <x:c r="C23" s="379" t="n">
        <x:f>C22*Assumptions!$B$50*Assumptions!$B$84</x:f>
        <x:v>0</x:v>
      </x:c>
      <x:c r="D23" s="379" t="n">
        <x:f>D22*Assumptions!$B$50*Assumptions!$B$84</x:f>
        <x:v>26047.5</x:v>
      </x:c>
      <x:c r="E23" s="379" t="n">
        <x:f>E22*Assumptions!$B$50*Assumptions!$B$84</x:f>
        <x:v>0</x:v>
      </x:c>
      <x:c r="F23" s="379" t="n">
        <x:f>F22*Assumptions!$B$50*Assumptions!$B$84</x:f>
        <x:v>0</x:v>
      </x:c>
      <x:c r="G23" s="379" t="n">
        <x:f>G22*Assumptions!$B$50*Assumptions!$B$84</x:f>
        <x:v>0</x:v>
      </x:c>
      <x:c r="H23" s="379" t="n">
        <x:f>H22*Assumptions!$B$50*Assumptions!$B$84</x:f>
        <x:v>0</x:v>
      </x:c>
      <x:c r="I23" s="379" t="n">
        <x:f>I22*Assumptions!$B$50*Assumptions!$B$84</x:f>
        <x:v>11981.85</x:v>
      </x:c>
      <x:c r="J23" s="379" t="n">
        <x:f>J22*Assumptions!$B$50*Assumptions!$B$84</x:f>
        <x:v>11981.85</x:v>
      </x:c>
      <x:c r="K23" s="379" t="n">
        <x:f>K22*Assumptions!$B$50*Assumptions!$B$84</x:f>
        <x:v>12068.675</x:v>
      </x:c>
      <x:c r="L23" s="379" t="n">
        <x:f>L22*Assumptions!$B$50*Assumptions!$B$84</x:f>
        <x:v>12068.675</x:v>
      </x:c>
      <x:c r="M23" s="379" t="n">
        <x:f>M22*Assumptions!$B$50*Assumptions!$B$84</x:f>
        <x:v>12068.675</x:v>
      </x:c>
      <x:c r="N23" s="379" t="n">
        <x:f>N22*Assumptions!$B$50*Assumptions!$B$84</x:f>
        <x:v>25700.2</x:v>
      </x:c>
      <x:c r="O23" s="379" t="n">
        <x:f>O22*Assumptions!$B$50*Assumptions!$B$84</x:f>
        <x:v>27870.825</x:v>
      </x:c>
      <x:c r="P23" s="379" t="n">
        <x:f>P22*Assumptions!$B$50*Assumptions!$B$84</x:f>
        <x:v>47580.1</x:v>
      </x:c>
      <x:c r="Q23" s="379" t="n">
        <x:f>Q22*Assumptions!$B$50*Assumptions!$B$84</x:f>
        <x:v>50966.275</x:v>
      </x:c>
      <x:c r="R23" s="379" t="n">
        <x:f>R22*Assumptions!$B$50*Assumptions!$B$84</x:f>
        <x:v>73627.59999999999</x:v>
      </x:c>
      <x:c r="S23" s="379" t="n">
        <x:f>S22*Assumptions!$B$50*Assumptions!$B$84</x:f>
        <x:v>77621.55</x:v>
      </x:c>
      <x:c r="T23" s="379" t="n">
        <x:f>T22*Assumptions!$B$50*Assumptions!$B$84</x:f>
        <x:v>144216.32499999998</x:v>
      </x:c>
      <x:c r="U23" s="379" t="n">
        <x:f>U22*Assumptions!$B$50*Assumptions!$B$84</x:f>
        <x:v>0</x:v>
      </x:c>
      <x:c r="V23" s="379" t="n">
        <x:f>V22*Assumptions!$B$50*Assumptions!$B$84</x:f>
        <x:v>0</x:v>
      </x:c>
      <x:c r="W23" s="227"/>
      <x:c r="X23" s="227"/>
      <x:c r="Y23" s="227"/>
      <x:c r="Z23" s="227"/>
    </x:row>
    <x:row r="24">
      <x:c r="A24" s="327" t="str">
        <x:v>Magnet balance cash (75%, t+1)</x:v>
      </x:c>
      <x:c r="B24" s="379" t="n">
        <x:f>0</x:f>
        <x:v>0</x:v>
      </x:c>
      <x:c r="C24" s="379" t="n">
        <x:f>B22*Assumptions!$B$50*Assumptions!$B$85</x:f>
        <x:v>0</x:v>
      </x:c>
      <x:c r="D24" s="379" t="n">
        <x:f>C22*Assumptions!$B$50*Assumptions!$B$85</x:f>
        <x:v>0</x:v>
      </x:c>
      <x:c r="E24" s="379" t="n">
        <x:f>D22*Assumptions!$B$50*Assumptions!$B$85</x:f>
        <x:v>78142.5</x:v>
      </x:c>
      <x:c r="F24" s="379" t="n">
        <x:f>E22*Assumptions!$B$50*Assumptions!$B$85</x:f>
        <x:v>0</x:v>
      </x:c>
      <x:c r="G24" s="379" t="n">
        <x:f>F22*Assumptions!$B$50*Assumptions!$B$85</x:f>
        <x:v>0</x:v>
      </x:c>
      <x:c r="H24" s="379" t="n">
        <x:f>G22*Assumptions!$B$50*Assumptions!$B$85</x:f>
        <x:v>0</x:v>
      </x:c>
      <x:c r="I24" s="379" t="n">
        <x:f>H22*Assumptions!$B$50*Assumptions!$B$85</x:f>
        <x:v>0</x:v>
      </x:c>
      <x:c r="J24" s="379" t="n">
        <x:f>I22*Assumptions!$B$50*Assumptions!$B$85</x:f>
        <x:v>35945.55</x:v>
      </x:c>
      <x:c r="K24" s="379" t="n">
        <x:f>J22*Assumptions!$B$50*Assumptions!$B$85</x:f>
        <x:v>35945.55</x:v>
      </x:c>
      <x:c r="L24" s="379" t="n">
        <x:f>K22*Assumptions!$B$50*Assumptions!$B$85</x:f>
        <x:v>36206.024999999994</x:v>
      </x:c>
      <x:c r="M24" s="379" t="n">
        <x:f>L22*Assumptions!$B$50*Assumptions!$B$85</x:f>
        <x:v>36206.024999999994</x:v>
      </x:c>
      <x:c r="N24" s="379" t="n">
        <x:f>M22*Assumptions!$B$50*Assumptions!$B$85</x:f>
        <x:v>36206.024999999994</x:v>
      </x:c>
      <x:c r="O24" s="379" t="n">
        <x:f>N22*Assumptions!$B$50*Assumptions!$B$85</x:f>
        <x:v>77100.6</x:v>
      </x:c>
      <x:c r="P24" s="379" t="n">
        <x:f>O22*Assumptions!$B$50*Assumptions!$B$85</x:f>
        <x:v>83612.475</x:v>
      </x:c>
      <x:c r="Q24" s="379" t="n">
        <x:f>P22*Assumptions!$B$50*Assumptions!$B$85</x:f>
        <x:v>142740.3</x:v>
      </x:c>
      <x:c r="R24" s="379" t="n">
        <x:f>Q22*Assumptions!$B$50*Assumptions!$B$85</x:f>
        <x:v>152898.825</x:v>
      </x:c>
      <x:c r="S24" s="379" t="n">
        <x:f>R22*Assumptions!$B$50*Assumptions!$B$85</x:f>
        <x:v>220882.8</x:v>
      </x:c>
      <x:c r="T24" s="379" t="n">
        <x:f>S22*Assumptions!$B$50*Assumptions!$B$85</x:f>
        <x:v>232864.65000000002</x:v>
      </x:c>
      <x:c r="U24" s="379" t="n">
        <x:f>T22*Assumptions!$B$50*Assumptions!$B$85</x:f>
        <x:v>432648.975</x:v>
      </x:c>
      <x:c r="V24" s="379" t="n">
        <x:f>U22*Assumptions!$B$50*Assumptions!$B$85</x:f>
        <x:v>0</x:v>
      </x:c>
      <x:c r="W24" s="227"/>
      <x:c r="X24" s="227"/>
      <x:c r="Y24" s="227"/>
      <x:c r="Z24" s="227"/>
    </x:row>
    <x:row r="25">
      <x:c r="A25" s="327" t="str">
        <x:v>Inventory receipts</x:v>
      </x:c>
      <x:c r="B25" s="382" t="n">
        <x:f>IF(B$4=Assumptions!$B$20,Assumptions!$B$51,0)</x:f>
        <x:v>0</x:v>
      </x:c>
      <x:c r="C25" s="382" t="n">
        <x:f>IF(C$4=Assumptions!$B$20,Assumptions!$B$51,0)</x:f>
        <x:v>0</x:v>
      </x:c>
      <x:c r="D25" s="382" t="n">
        <x:f>B22+IF(D$4=Assumptions!$B$20,Assumptions!$B$51,0)</x:f>
        <x:v>1000</x:v>
      </x:c>
      <x:c r="E25" s="382" t="n">
        <x:f>C22+IF(E$4=Assumptions!$B$20,Assumptions!$B$51,0)</x:f>
        <x:v>0</x:v>
      </x:c>
      <x:c r="F25" s="382" t="n">
        <x:f>D22+IF(F$4=Assumptions!$B$20,Assumptions!$B$51,0)</x:f>
        <x:v>30000</x:v>
      </x:c>
      <x:c r="G25" s="382" t="n">
        <x:f>E22+IF(G$4=Assumptions!$B$20,Assumptions!$B$51,0)</x:f>
        <x:v>0</x:v>
      </x:c>
      <x:c r="H25" s="382" t="n">
        <x:f>F22+IF(H$4=Assumptions!$B$20,Assumptions!$B$51,0)</x:f>
        <x:v>0</x:v>
      </x:c>
      <x:c r="I25" s="382" t="n">
        <x:f>G22+IF(I$4=Assumptions!$B$20,Assumptions!$B$51,0)</x:f>
        <x:v>0</x:v>
      </x:c>
      <x:c r="J25" s="382" t="n">
        <x:f>H22+IF(J$4=Assumptions!$B$20,Assumptions!$B$51,0)</x:f>
        <x:v>0</x:v>
      </x:c>
      <x:c r="K25" s="382" t="n">
        <x:f>I22+IF(K$4=Assumptions!$B$20,Assumptions!$B$51,0)</x:f>
        <x:v>13800</x:v>
      </x:c>
      <x:c r="L25" s="382" t="n">
        <x:f>J22+IF(L$4=Assumptions!$B$20,Assumptions!$B$51,0)</x:f>
        <x:v>13800</x:v>
      </x:c>
      <x:c r="M25" s="382" t="n">
        <x:f>K22+IF(M$4=Assumptions!$B$20,Assumptions!$B$51,0)</x:f>
        <x:v>13900</x:v>
      </x:c>
      <x:c r="N25" s="382" t="n">
        <x:f>L22+IF(N$4=Assumptions!$B$20,Assumptions!$B$51,0)</x:f>
        <x:v>13900</x:v>
      </x:c>
      <x:c r="O25" s="382" t="n">
        <x:f>M22+IF(O$4=Assumptions!$B$20,Assumptions!$B$51,0)</x:f>
        <x:v>13900</x:v>
      </x:c>
      <x:c r="P25" s="382" t="n">
        <x:f>N22+IF(P$4=Assumptions!$B$20,Assumptions!$B$51,0)</x:f>
        <x:v>29600</x:v>
      </x:c>
      <x:c r="Q25" s="382" t="n">
        <x:f>O22+IF(Q$4=Assumptions!$B$20,Assumptions!$B$51,0)</x:f>
        <x:v>32100</x:v>
      </x:c>
      <x:c r="R25" s="382" t="n">
        <x:f>P22+IF(R$4=Assumptions!$B$20,Assumptions!$B$51,0)</x:f>
        <x:v>54800</x:v>
      </x:c>
      <x:c r="S25" s="382" t="n">
        <x:f>Q22+IF(S$4=Assumptions!$B$20,Assumptions!$B$51,0)</x:f>
        <x:v>58700</x:v>
      </x:c>
      <x:c r="T25" s="382" t="n">
        <x:f>R22+IF(T$4=Assumptions!$B$20,Assumptions!$B$51,0)</x:f>
        <x:v>84800</x:v>
      </x:c>
      <x:c r="U25" s="382" t="n">
        <x:f>S22+IF(U$4=Assumptions!$B$20,Assumptions!$B$51,0)</x:f>
        <x:v>89400</x:v>
      </x:c>
      <x:c r="V25" s="382" t="n">
        <x:f>T22+IF(V$4=Assumptions!$B$20,Assumptions!$B$51,0)</x:f>
        <x:v>166100</x:v>
      </x:c>
      <x:c r="W25" s="227"/>
      <x:c r="X25" s="227"/>
      <x:c r="Y25" s="227"/>
      <x:c r="Z25" s="227"/>
    </x:row>
    <x:row r="26">
      <x:c r="A26" s="327" t="str">
        <x:v>Opening inventory</x:v>
      </x:c>
      <x:c r="B26" s="382" t="n">
        <x:f>0</x:f>
        <x:v>0</x:v>
      </x:c>
      <x:c r="C26" s="382" t="n">
        <x:f>B33</x:f>
        <x:v>0</x:v>
      </x:c>
      <x:c r="D26" s="382" t="n">
        <x:f>C33</x:f>
        <x:v>0</x:v>
      </x:c>
      <x:c r="E26" s="382" t="n">
        <x:f>D33</x:f>
        <x:v>580</x:v>
      </x:c>
      <x:c r="F26" s="382" t="n">
        <x:f>E33</x:f>
        <x:v>0</x:v>
      </x:c>
      <x:c r="G26" s="382" t="n">
        <x:f>F33</x:f>
        <x:v>29160</x:v>
      </x:c>
      <x:c r="H26" s="382" t="n">
        <x:f>G33</x:f>
        <x:v>28320</x:v>
      </x:c>
      <x:c r="I26" s="382" t="n">
        <x:f>H33</x:f>
        <x:v>27480</x:v>
      </x:c>
      <x:c r="J26" s="382" t="n">
        <x:f>I33</x:f>
        <x:v>16852.5</x:v>
      </x:c>
      <x:c r="K26" s="382" t="n">
        <x:f>J33</x:f>
        <x:v>2962.5</x:v>
      </x:c>
      <x:c r="L26" s="382" t="n">
        <x:f>K33</x:f>
        <x:v>2872.5</x:v>
      </x:c>
      <x:c r="M26" s="382" t="n">
        <x:f>L33</x:f>
        <x:v>2782.5</x:v>
      </x:c>
      <x:c r="N26" s="382" t="n">
        <x:f>M33</x:f>
        <x:v>2792.5</x:v>
      </x:c>
      <x:c r="O26" s="382" t="n">
        <x:f>N33</x:f>
        <x:v>2802.5</x:v>
      </x:c>
      <x:c r="P26" s="382" t="n">
        <x:f>O33</x:f>
        <x:v>2812.5</x:v>
      </x:c>
      <x:c r="Q26" s="382" t="n">
        <x:f>P33</x:f>
        <x:v>5472.5</x:v>
      </x:c>
      <x:c r="R26" s="382" t="n">
        <x:f>Q33</x:f>
        <x:v>6282.5</x:v>
      </x:c>
      <x:c r="S26" s="382" t="n">
        <x:f>R33</x:f>
        <x:v>10217.5</x:v>
      </x:c>
      <x:c r="T26" s="382" t="n">
        <x:f>S33</x:f>
        <x:v>11527.5</x:v>
      </x:c>
      <x:c r="U26" s="382" t="n">
        <x:f>T33</x:f>
        <x:v>16100</x:v>
      </x:c>
      <x:c r="V26" s="382" t="n">
        <x:f>U33</x:f>
        <x:v>17660</x:v>
      </x:c>
      <x:c r="W26" s="227"/>
      <x:c r="X26" s="227"/>
      <x:c r="Y26" s="227"/>
      <x:c r="Z26" s="227"/>
    </x:row>
    <x:row r="27">
      <x:c r="A27" s="327" t="str">
        <x:v>Pilot demand units</x:v>
      </x:c>
      <x:c r="B27" s="382" t="n">
        <x:f>B17*Assumptions!$B$63*Assumptions!$B$8</x:f>
        <x:v>0</x:v>
      </x:c>
      <x:c r="C27" s="382" t="n">
        <x:f>C17*Assumptions!$B$63*Assumptions!$B$8</x:f>
        <x:v>0</x:v>
      </x:c>
      <x:c r="D27" s="382" t="n">
        <x:f>D17*Assumptions!$B$63*Assumptions!$B$8</x:f>
        <x:v>420</x:v>
      </x:c>
      <x:c r="E27" s="382" t="n">
        <x:f>E17*Assumptions!$B$63*Assumptions!$B$8</x:f>
        <x:v>840</x:v>
      </x:c>
      <x:c r="F27" s="382" t="n">
        <x:f>F17*Assumptions!$B$63*Assumptions!$B$8</x:f>
        <x:v>840</x:v>
      </x:c>
      <x:c r="G27" s="382" t="n">
        <x:f>G17*Assumptions!$B$63*Assumptions!$B$8</x:f>
        <x:v>840</x:v>
      </x:c>
      <x:c r="H27" s="382" t="n">
        <x:f>H17*Assumptions!$B$63*Assumptions!$B$8</x:f>
        <x:v>840</x:v>
      </x:c>
      <x:c r="I27" s="382" t="n">
        <x:f>I17*Assumptions!$B$63*Assumptions!$B$8</x:f>
        <x:v>840</x:v>
      </x:c>
      <x:c r="J27" s="382" t="n">
        <x:f>J17*Assumptions!$B$63*Assumptions!$B$8</x:f>
        <x:v>840</x:v>
      </x:c>
      <x:c r="K27" s="382" t="n">
        <x:f>K17*Assumptions!$B$63*Assumptions!$B$8</x:f>
        <x:v>840</x:v>
      </x:c>
      <x:c r="L27" s="382" t="n">
        <x:f>L17*Assumptions!$B$63*Assumptions!$B$8</x:f>
        <x:v>840</x:v>
      </x:c>
      <x:c r="M27" s="382" t="n">
        <x:f>M17*Assumptions!$B$63*Assumptions!$B$8</x:f>
        <x:v>840</x:v>
      </x:c>
      <x:c r="N27" s="382" t="n">
        <x:f>N17*Assumptions!$B$63*Assumptions!$B$8</x:f>
        <x:v>840</x:v>
      </x:c>
      <x:c r="O27" s="382" t="n">
        <x:f>O17*Assumptions!$B$63*Assumptions!$B$8</x:f>
        <x:v>840</x:v>
      </x:c>
      <x:c r="P27" s="382" t="n">
        <x:f>P17*Assumptions!$B$63*Assumptions!$B$8</x:f>
        <x:v>840</x:v>
      </x:c>
      <x:c r="Q27" s="382" t="n">
        <x:f>Q17*Assumptions!$B$63*Assumptions!$B$8</x:f>
        <x:v>840</x:v>
      </x:c>
      <x:c r="R27" s="382" t="n">
        <x:f>R17*Assumptions!$B$63*Assumptions!$B$8</x:f>
        <x:v>840</x:v>
      </x:c>
      <x:c r="S27" s="382" t="n">
        <x:f>S17*Assumptions!$B$63*Assumptions!$B$8</x:f>
        <x:v>840</x:v>
      </x:c>
      <x:c r="T27" s="382" t="n">
        <x:f>T17*Assumptions!$B$63*Assumptions!$B$8</x:f>
        <x:v>840</x:v>
      </x:c>
      <x:c r="U27" s="382" t="n">
        <x:f>U17*Assumptions!$B$63*Assumptions!$B$8</x:f>
        <x:v>840</x:v>
      </x:c>
      <x:c r="V27" s="382" t="n">
        <x:f>V17*Assumptions!$B$63*Assumptions!$B$8</x:f>
        <x:v>840</x:v>
      </x:c>
      <x:c r="W27" s="227"/>
      <x:c r="X27" s="227"/>
      <x:c r="Y27" s="227"/>
      <x:c r="Z27" s="227"/>
    </x:row>
    <x:row r="28">
      <x:c r="A28" s="327" t="str">
        <x:v>Commercial demand units</x:v>
      </x:c>
      <x:c r="B28" s="382" t="n">
        <x:f>B16*Assumptions!$B$62*Assumptions!$B$8</x:f>
        <x:v>0</x:v>
      </x:c>
      <x:c r="C28" s="382" t="n">
        <x:f>C16*Assumptions!$B$62*Assumptions!$B$8</x:f>
        <x:v>0</x:v>
      </x:c>
      <x:c r="D28" s="382" t="n">
        <x:f>D16*Assumptions!$B$62*Assumptions!$B$8</x:f>
        <x:v>0</x:v>
      </x:c>
      <x:c r="E28" s="382" t="n">
        <x:f>E16*Assumptions!$B$62*Assumptions!$B$8</x:f>
        <x:v>0</x:v>
      </x:c>
      <x:c r="F28" s="382" t="n">
        <x:f>F16*Assumptions!$B$62*Assumptions!$B$8</x:f>
        <x:v>0</x:v>
      </x:c>
      <x:c r="G28" s="382" t="n">
        <x:f>G16*Assumptions!$B$62*Assumptions!$B$8</x:f>
        <x:v>0</x:v>
      </x:c>
      <x:c r="H28" s="382" t="n">
        <x:f>H16*Assumptions!$B$62*Assumptions!$B$8</x:f>
        <x:v>0</x:v>
      </x:c>
      <x:c r="I28" s="382" t="n">
        <x:f>I16*Assumptions!$B$62*Assumptions!$B$8</x:f>
        <x:v>9787.5</x:v>
      </x:c>
      <x:c r="J28" s="382" t="n">
        <x:f>J16*Assumptions!$B$62*Assumptions!$B$8</x:f>
        <x:v>13050</x:v>
      </x:c>
      <x:c r="K28" s="382" t="n">
        <x:f>K16*Assumptions!$B$62*Assumptions!$B$8</x:f>
        <x:v>13050</x:v>
      </x:c>
      <x:c r="L28" s="382" t="n">
        <x:f>L16*Assumptions!$B$62*Assumptions!$B$8</x:f>
        <x:v>13050</x:v>
      </x:c>
      <x:c r="M28" s="382" t="n">
        <x:f>M16*Assumptions!$B$62*Assumptions!$B$8</x:f>
        <x:v>13050</x:v>
      </x:c>
      <x:c r="N28" s="382" t="n">
        <x:f>N16*Assumptions!$B$62*Assumptions!$B$8</x:f>
        <x:v>13050</x:v>
      </x:c>
      <x:c r="O28" s="382" t="n">
        <x:f>O16*Assumptions!$B$62*Assumptions!$B$8</x:f>
        <x:v>13050</x:v>
      </x:c>
      <x:c r="P28" s="382" t="n">
        <x:f>P16*Assumptions!$B$62*Assumptions!$B$8</x:f>
        <x:v>26100</x:v>
      </x:c>
      <x:c r="Q28" s="382" t="n">
        <x:f>Q16*Assumptions!$B$62*Assumptions!$B$8</x:f>
        <x:v>30450</x:v>
      </x:c>
      <x:c r="R28" s="382" t="n">
        <x:f>R16*Assumptions!$B$62*Assumptions!$B$8</x:f>
        <x:v>50025</x:v>
      </x:c>
      <x:c r="S28" s="382" t="n">
        <x:f>S16*Assumptions!$B$62*Assumptions!$B$8</x:f>
        <x:v>56550</x:v>
      </x:c>
      <x:c r="T28" s="382" t="n">
        <x:f>T16*Assumptions!$B$62*Assumptions!$B$8</x:f>
        <x:v>79387.5</x:v>
      </x:c>
      <x:c r="U28" s="382" t="n">
        <x:f>U16*Assumptions!$B$62*Assumptions!$B$8</x:f>
        <x:v>87000</x:v>
      </x:c>
      <x:c r="V28" s="382" t="n">
        <x:f>V16*Assumptions!$B$62*Assumptions!$B$8</x:f>
        <x:v>152250</x:v>
      </x:c>
      <x:c r="W28" s="227"/>
      <x:c r="X28" s="227"/>
      <x:c r="Y28" s="227"/>
      <x:c r="Z28" s="227"/>
    </x:row>
    <x:row r="29">
      <x:c r="A29" s="327" t="str">
        <x:v>Total demand units</x:v>
      </x:c>
      <x:c r="B29" s="382" t="n">
        <x:f>B27+B28</x:f>
        <x:v>0</x:v>
      </x:c>
      <x:c r="C29" s="382" t="n">
        <x:f>C27+C28</x:f>
        <x:v>0</x:v>
      </x:c>
      <x:c r="D29" s="382" t="n">
        <x:f>D27+D28</x:f>
        <x:v>420</x:v>
      </x:c>
      <x:c r="E29" s="382" t="n">
        <x:f>E27+E28</x:f>
        <x:v>840</x:v>
      </x:c>
      <x:c r="F29" s="382" t="n">
        <x:f>F27+F28</x:f>
        <x:v>840</x:v>
      </x:c>
      <x:c r="G29" s="382" t="n">
        <x:f>G27+G28</x:f>
        <x:v>840</x:v>
      </x:c>
      <x:c r="H29" s="382" t="n">
        <x:f>H27+H28</x:f>
        <x:v>840</x:v>
      </x:c>
      <x:c r="I29" s="382" t="n">
        <x:f>I27+I28</x:f>
        <x:v>10627.5</x:v>
      </x:c>
      <x:c r="J29" s="382" t="n">
        <x:f>J27+J28</x:f>
        <x:v>13890</x:v>
      </x:c>
      <x:c r="K29" s="382" t="n">
        <x:f>K27+K28</x:f>
        <x:v>13890</x:v>
      </x:c>
      <x:c r="L29" s="382" t="n">
        <x:f>L27+L28</x:f>
        <x:v>13890</x:v>
      </x:c>
      <x:c r="M29" s="382" t="n">
        <x:f>M27+M28</x:f>
        <x:v>13890</x:v>
      </x:c>
      <x:c r="N29" s="382" t="n">
        <x:f>N27+N28</x:f>
        <x:v>13890</x:v>
      </x:c>
      <x:c r="O29" s="382" t="n">
        <x:f>O27+O28</x:f>
        <x:v>13890</x:v>
      </x:c>
      <x:c r="P29" s="382" t="n">
        <x:f>P27+P28</x:f>
        <x:v>26940</x:v>
      </x:c>
      <x:c r="Q29" s="382" t="n">
        <x:f>Q27+Q28</x:f>
        <x:v>31290</x:v>
      </x:c>
      <x:c r="R29" s="382" t="n">
        <x:f>R27+R28</x:f>
        <x:v>50865</x:v>
      </x:c>
      <x:c r="S29" s="382" t="n">
        <x:f>S27+S28</x:f>
        <x:v>57390</x:v>
      </x:c>
      <x:c r="T29" s="382" t="n">
        <x:f>T27+T28</x:f>
        <x:v>80227.5</x:v>
      </x:c>
      <x:c r="U29" s="382" t="n">
        <x:f>U27+U28</x:f>
        <x:v>87840</x:v>
      </x:c>
      <x:c r="V29" s="382" t="n">
        <x:f>V27+V28</x:f>
        <x:v>153090</x:v>
      </x:c>
      <x:c r="W29" s="227"/>
      <x:c r="X29" s="227"/>
      <x:c r="Y29" s="227"/>
      <x:c r="Z29" s="227"/>
    </x:row>
    <x:row r="30">
      <x:c r="A30" s="327" t="str">
        <x:v>Pilot units sold</x:v>
      </x:c>
      <x:c r="B30" s="382" t="n">
        <x:f>MIN(B27,B26+B25)</x:f>
        <x:v>0</x:v>
      </x:c>
      <x:c r="C30" s="382" t="n">
        <x:f>MIN(C27,C26+C25)</x:f>
        <x:v>0</x:v>
      </x:c>
      <x:c r="D30" s="382" t="n">
        <x:f>MIN(D27,D26+D25)</x:f>
        <x:v>420</x:v>
      </x:c>
      <x:c r="E30" s="382" t="n">
        <x:f>MIN(E27,E26+E25)</x:f>
        <x:v>580</x:v>
      </x:c>
      <x:c r="F30" s="382" t="n">
        <x:f>MIN(F27,F26+F25)</x:f>
        <x:v>840</x:v>
      </x:c>
      <x:c r="G30" s="382" t="n">
        <x:f>MIN(G27,G26+G25)</x:f>
        <x:v>840</x:v>
      </x:c>
      <x:c r="H30" s="382" t="n">
        <x:f>MIN(H27,H26+H25)</x:f>
        <x:v>840</x:v>
      </x:c>
      <x:c r="I30" s="382" t="n">
        <x:f>MIN(I27,I26+I25)</x:f>
        <x:v>840</x:v>
      </x:c>
      <x:c r="J30" s="382" t="n">
        <x:f>MIN(J27,J26+J25)</x:f>
        <x:v>840</x:v>
      </x:c>
      <x:c r="K30" s="382" t="n">
        <x:f>MIN(K27,K26+K25)</x:f>
        <x:v>840</x:v>
      </x:c>
      <x:c r="L30" s="382" t="n">
        <x:f>MIN(L27,L26+L25)</x:f>
        <x:v>840</x:v>
      </x:c>
      <x:c r="M30" s="382" t="n">
        <x:f>MIN(M27,M26+M25)</x:f>
        <x:v>840</x:v>
      </x:c>
      <x:c r="N30" s="382" t="n">
        <x:f>MIN(N27,N26+N25)</x:f>
        <x:v>840</x:v>
      </x:c>
      <x:c r="O30" s="382" t="n">
        <x:f>MIN(O27,O26+O25)</x:f>
        <x:v>840</x:v>
      </x:c>
      <x:c r="P30" s="382" t="n">
        <x:f>MIN(P27,P26+P25)</x:f>
        <x:v>840</x:v>
      </x:c>
      <x:c r="Q30" s="382" t="n">
        <x:f>MIN(Q27,Q26+Q25)</x:f>
        <x:v>840</x:v>
      </x:c>
      <x:c r="R30" s="382" t="n">
        <x:f>MIN(R27,R26+R25)</x:f>
        <x:v>840</x:v>
      </x:c>
      <x:c r="S30" s="382" t="n">
        <x:f>MIN(S27,S26+S25)</x:f>
        <x:v>840</x:v>
      </x:c>
      <x:c r="T30" s="382" t="n">
        <x:f>MIN(T27,T26+T25)</x:f>
        <x:v>840</x:v>
      </x:c>
      <x:c r="U30" s="382" t="n">
        <x:f>MIN(U27,U26+U25)</x:f>
        <x:v>840</x:v>
      </x:c>
      <x:c r="V30" s="382" t="n">
        <x:f>MIN(V27,V26+V25)</x:f>
        <x:v>840</x:v>
      </x:c>
      <x:c r="W30" s="227"/>
      <x:c r="X30" s="227"/>
      <x:c r="Y30" s="227"/>
      <x:c r="Z30" s="227"/>
    </x:row>
    <x:row r="31">
      <x:c r="A31" s="327" t="str">
        <x:v>Commercial units sold</x:v>
      </x:c>
      <x:c r="B31" s="382" t="n">
        <x:f>MIN(B28,MAX(0,B26+B25-B30))</x:f>
        <x:v>0</x:v>
      </x:c>
      <x:c r="C31" s="382" t="n">
        <x:f>MIN(C28,MAX(0,C26+C25-C30))</x:f>
        <x:v>0</x:v>
      </x:c>
      <x:c r="D31" s="382" t="n">
        <x:f>MIN(D28,MAX(0,D26+D25-D30))</x:f>
        <x:v>0</x:v>
      </x:c>
      <x:c r="E31" s="382" t="n">
        <x:f>MIN(E28,MAX(0,E26+E25-E30))</x:f>
        <x:v>0</x:v>
      </x:c>
      <x:c r="F31" s="382" t="n">
        <x:f>MIN(F28,MAX(0,F26+F25-F30))</x:f>
        <x:v>0</x:v>
      </x:c>
      <x:c r="G31" s="382" t="n">
        <x:f>MIN(G28,MAX(0,G26+G25-G30))</x:f>
        <x:v>0</x:v>
      </x:c>
      <x:c r="H31" s="382" t="n">
        <x:f>MIN(H28,MAX(0,H26+H25-H30))</x:f>
        <x:v>0</x:v>
      </x:c>
      <x:c r="I31" s="382" t="n">
        <x:f>MIN(I28,MAX(0,I26+I25-I30))</x:f>
        <x:v>9787.5</x:v>
      </x:c>
      <x:c r="J31" s="382" t="n">
        <x:f>MIN(J28,MAX(0,J26+J25-J30))</x:f>
        <x:v>13050</x:v>
      </x:c>
      <x:c r="K31" s="382" t="n">
        <x:f>MIN(K28,MAX(0,K26+K25-K30))</x:f>
        <x:v>13050</x:v>
      </x:c>
      <x:c r="L31" s="382" t="n">
        <x:f>MIN(L28,MAX(0,L26+L25-L30))</x:f>
        <x:v>13050</x:v>
      </x:c>
      <x:c r="M31" s="382" t="n">
        <x:f>MIN(M28,MAX(0,M26+M25-M30))</x:f>
        <x:v>13050</x:v>
      </x:c>
      <x:c r="N31" s="382" t="n">
        <x:f>MIN(N28,MAX(0,N26+N25-N30))</x:f>
        <x:v>13050</x:v>
      </x:c>
      <x:c r="O31" s="382" t="n">
        <x:f>MIN(O28,MAX(0,O26+O25-O30))</x:f>
        <x:v>13050</x:v>
      </x:c>
      <x:c r="P31" s="382" t="n">
        <x:f>MIN(P28,MAX(0,P26+P25-P30))</x:f>
        <x:v>26100</x:v>
      </x:c>
      <x:c r="Q31" s="382" t="n">
        <x:f>MIN(Q28,MAX(0,Q26+Q25-Q30))</x:f>
        <x:v>30450</x:v>
      </x:c>
      <x:c r="R31" s="382" t="n">
        <x:f>MIN(R28,MAX(0,R26+R25-R30))</x:f>
        <x:v>50025</x:v>
      </x:c>
      <x:c r="S31" s="382" t="n">
        <x:f>MIN(S28,MAX(0,S26+S25-S30))</x:f>
        <x:v>56550</x:v>
      </x:c>
      <x:c r="T31" s="382" t="n">
        <x:f>MIN(T28,MAX(0,T26+T25-T30))</x:f>
        <x:v>79387.5</x:v>
      </x:c>
      <x:c r="U31" s="382" t="n">
        <x:f>MIN(U28,MAX(0,U26+U25-U30))</x:f>
        <x:v>87000</x:v>
      </x:c>
      <x:c r="V31" s="382" t="n">
        <x:f>MIN(V28,MAX(0,V26+V25-V30))</x:f>
        <x:v>152250</x:v>
      </x:c>
      <x:c r="W31" s="227"/>
      <x:c r="X31" s="227"/>
      <x:c r="Y31" s="227"/>
      <x:c r="Z31" s="227"/>
    </x:row>
    <x:row r="32">
      <x:c r="A32" s="327" t="str">
        <x:v>Total units sold</x:v>
      </x:c>
      <x:c r="B32" s="382" t="n">
        <x:f>B30+B31</x:f>
        <x:v>0</x:v>
      </x:c>
      <x:c r="C32" s="382" t="n">
        <x:f>C30+C31</x:f>
        <x:v>0</x:v>
      </x:c>
      <x:c r="D32" s="382" t="n">
        <x:f>D30+D31</x:f>
        <x:v>420</x:v>
      </x:c>
      <x:c r="E32" s="382" t="n">
        <x:f>E30+E31</x:f>
        <x:v>580</x:v>
      </x:c>
      <x:c r="F32" s="382" t="n">
        <x:f>F30+F31</x:f>
        <x:v>840</x:v>
      </x:c>
      <x:c r="G32" s="382" t="n">
        <x:f>G30+G31</x:f>
        <x:v>840</x:v>
      </x:c>
      <x:c r="H32" s="382" t="n">
        <x:f>H30+H31</x:f>
        <x:v>840</x:v>
      </x:c>
      <x:c r="I32" s="382" t="n">
        <x:f>I30+I31</x:f>
        <x:v>10627.5</x:v>
      </x:c>
      <x:c r="J32" s="382" t="n">
        <x:f>J30+J31</x:f>
        <x:v>13890</x:v>
      </x:c>
      <x:c r="K32" s="382" t="n">
        <x:f>K30+K31</x:f>
        <x:v>13890</x:v>
      </x:c>
      <x:c r="L32" s="382" t="n">
        <x:f>L30+L31</x:f>
        <x:v>13890</x:v>
      </x:c>
      <x:c r="M32" s="382" t="n">
        <x:f>M30+M31</x:f>
        <x:v>13890</x:v>
      </x:c>
      <x:c r="N32" s="382" t="n">
        <x:f>N30+N31</x:f>
        <x:v>13890</x:v>
      </x:c>
      <x:c r="O32" s="382" t="n">
        <x:f>O30+O31</x:f>
        <x:v>13890</x:v>
      </x:c>
      <x:c r="P32" s="382" t="n">
        <x:f>P30+P31</x:f>
        <x:v>26940</x:v>
      </x:c>
      <x:c r="Q32" s="382" t="n">
        <x:f>Q30+Q31</x:f>
        <x:v>31290</x:v>
      </x:c>
      <x:c r="R32" s="382" t="n">
        <x:f>R30+R31</x:f>
        <x:v>50865</x:v>
      </x:c>
      <x:c r="S32" s="382" t="n">
        <x:f>S30+S31</x:f>
        <x:v>57390</x:v>
      </x:c>
      <x:c r="T32" s="382" t="n">
        <x:f>T30+T31</x:f>
        <x:v>80227.5</x:v>
      </x:c>
      <x:c r="U32" s="382" t="n">
        <x:f>U30+U31</x:f>
        <x:v>87840</x:v>
      </x:c>
      <x:c r="V32" s="382" t="n">
        <x:f>V30+V31</x:f>
        <x:v>153090</x:v>
      </x:c>
      <x:c r="W32" s="227"/>
      <x:c r="X32" s="227"/>
      <x:c r="Y32" s="227"/>
      <x:c r="Z32" s="227"/>
    </x:row>
    <x:row r="33">
      <x:c r="A33" s="327" t="str">
        <x:v>Closing inventory</x:v>
      </x:c>
      <x:c r="B33" s="382" t="n">
        <x:f>B26+B25-B32</x:f>
        <x:v>0</x:v>
      </x:c>
      <x:c r="C33" s="382" t="n">
        <x:f>C26+C25-C32</x:f>
        <x:v>0</x:v>
      </x:c>
      <x:c r="D33" s="382" t="n">
        <x:f>D26+D25-D32</x:f>
        <x:v>580</x:v>
      </x:c>
      <x:c r="E33" s="382" t="n">
        <x:f>E26+E25-E32</x:f>
        <x:v>0</x:v>
      </x:c>
      <x:c r="F33" s="382" t="n">
        <x:f>F26+F25-F32</x:f>
        <x:v>29160</x:v>
      </x:c>
      <x:c r="G33" s="382" t="n">
        <x:f>G26+G25-G32</x:f>
        <x:v>28320</x:v>
      </x:c>
      <x:c r="H33" s="382" t="n">
        <x:f>H26+H25-H32</x:f>
        <x:v>27480</x:v>
      </x:c>
      <x:c r="I33" s="382" t="n">
        <x:f>I26+I25-I32</x:f>
        <x:v>16852.5</x:v>
      </x:c>
      <x:c r="J33" s="382" t="n">
        <x:f>J26+J25-J32</x:f>
        <x:v>2962.5</x:v>
      </x:c>
      <x:c r="K33" s="382" t="n">
        <x:f>K26+K25-K32</x:f>
        <x:v>2872.5</x:v>
      </x:c>
      <x:c r="L33" s="382" t="n">
        <x:f>L26+L25-L32</x:f>
        <x:v>2782.5</x:v>
      </x:c>
      <x:c r="M33" s="382" t="n">
        <x:f>M26+M25-M32</x:f>
        <x:v>2792.5</x:v>
      </x:c>
      <x:c r="N33" s="382" t="n">
        <x:f>N26+N25-N32</x:f>
        <x:v>2802.5</x:v>
      </x:c>
      <x:c r="O33" s="382" t="n">
        <x:f>O26+O25-O32</x:f>
        <x:v>2812.5</x:v>
      </x:c>
      <x:c r="P33" s="382" t="n">
        <x:f>P26+P25-P32</x:f>
        <x:v>5472.5</x:v>
      </x:c>
      <x:c r="Q33" s="382" t="n">
        <x:f>Q26+Q25-Q32</x:f>
        <x:v>6282.5</x:v>
      </x:c>
      <x:c r="R33" s="382" t="n">
        <x:f>R26+R25-R32</x:f>
        <x:v>10217.5</x:v>
      </x:c>
      <x:c r="S33" s="382" t="n">
        <x:f>S26+S25-S32</x:f>
        <x:v>11527.5</x:v>
      </x:c>
      <x:c r="T33" s="382" t="n">
        <x:f>T26+T25-T32</x:f>
        <x:v>16100</x:v>
      </x:c>
      <x:c r="U33" s="382" t="n">
        <x:f>U26+U25-U32</x:f>
        <x:v>17660</x:v>
      </x:c>
      <x:c r="V33" s="382" t="n">
        <x:f>V26+V25-V32</x:f>
        <x:v>30670</x:v>
      </x:c>
      <x:c r="W33" s="227"/>
      <x:c r="X33" s="227"/>
      <x:c r="Y33" s="227"/>
      <x:c r="Z33" s="227"/>
    </x:row>
    <x:row r="34">
      <x:c r="A34" s="327" t="str">
        <x:v>Pilot vending revenue</x:v>
      </x:c>
      <x:c r="B34" s="379" t="n">
        <x:f>B30*Assumptions!$B$48</x:f>
        <x:v>0</x:v>
      </x:c>
      <x:c r="C34" s="379" t="n">
        <x:f>C30*Assumptions!$B$48</x:f>
        <x:v>0</x:v>
      </x:c>
      <x:c r="D34" s="379" t="n">
        <x:f>D30*Assumptions!$B$48</x:f>
        <x:v>7455</x:v>
      </x:c>
      <x:c r="E34" s="379" t="n">
        <x:f>E30*Assumptions!$B$48</x:f>
        <x:v>10295</x:v>
      </x:c>
      <x:c r="F34" s="379" t="n">
        <x:f>F30*Assumptions!$B$48</x:f>
        <x:v>14910</x:v>
      </x:c>
      <x:c r="G34" s="379" t="n">
        <x:f>G30*Assumptions!$B$48</x:f>
        <x:v>14910</x:v>
      </x:c>
      <x:c r="H34" s="379" t="n">
        <x:f>H30*Assumptions!$B$48</x:f>
        <x:v>14910</x:v>
      </x:c>
      <x:c r="I34" s="379" t="n">
        <x:f>I30*Assumptions!$B$48</x:f>
        <x:v>14910</x:v>
      </x:c>
      <x:c r="J34" s="379" t="n">
        <x:f>J30*Assumptions!$B$48</x:f>
        <x:v>14910</x:v>
      </x:c>
      <x:c r="K34" s="379" t="n">
        <x:f>K30*Assumptions!$B$48</x:f>
        <x:v>14910</x:v>
      </x:c>
      <x:c r="L34" s="379" t="n">
        <x:f>L30*Assumptions!$B$48</x:f>
        <x:v>14910</x:v>
      </x:c>
      <x:c r="M34" s="379" t="n">
        <x:f>M30*Assumptions!$B$48</x:f>
        <x:v>14910</x:v>
      </x:c>
      <x:c r="N34" s="379" t="n">
        <x:f>N30*Assumptions!$B$48</x:f>
        <x:v>14910</x:v>
      </x:c>
      <x:c r="O34" s="379" t="n">
        <x:f>O30*Assumptions!$B$48</x:f>
        <x:v>14910</x:v>
      </x:c>
      <x:c r="P34" s="379" t="n">
        <x:f>P30*Assumptions!$B$48</x:f>
        <x:v>14910</x:v>
      </x:c>
      <x:c r="Q34" s="379" t="n">
        <x:f>Q30*Assumptions!$B$48</x:f>
        <x:v>14910</x:v>
      </x:c>
      <x:c r="R34" s="379" t="n">
        <x:f>R30*Assumptions!$B$48</x:f>
        <x:v>14910</x:v>
      </x:c>
      <x:c r="S34" s="379" t="n">
        <x:f>S30*Assumptions!$B$48</x:f>
        <x:v>14910</x:v>
      </x:c>
      <x:c r="T34" s="379" t="n">
        <x:f>T30*Assumptions!$B$48</x:f>
        <x:v>14910</x:v>
      </x:c>
      <x:c r="U34" s="379" t="n">
        <x:f>U30*Assumptions!$B$48</x:f>
        <x:v>14910</x:v>
      </x:c>
      <x:c r="V34" s="379" t="n">
        <x:f>V30*Assumptions!$B$48</x:f>
        <x:v>14910</x:v>
      </x:c>
      <x:c r="W34" s="227"/>
      <x:c r="X34" s="227"/>
      <x:c r="Y34" s="227"/>
      <x:c r="Z34" s="227"/>
    </x:row>
    <x:row r="35">
      <x:c r="A35" s="327" t="str">
        <x:v>Commercial vending revenue</x:v>
      </x:c>
      <x:c r="B35" s="379" t="n">
        <x:f>B31*Assumptions!$B$48</x:f>
        <x:v>0</x:v>
      </x:c>
      <x:c r="C35" s="379" t="n">
        <x:f>C31*Assumptions!$B$48</x:f>
        <x:v>0</x:v>
      </x:c>
      <x:c r="D35" s="379" t="n">
        <x:f>D31*Assumptions!$B$48</x:f>
        <x:v>0</x:v>
      </x:c>
      <x:c r="E35" s="379" t="n">
        <x:f>E31*Assumptions!$B$48</x:f>
        <x:v>0</x:v>
      </x:c>
      <x:c r="F35" s="379" t="n">
        <x:f>F31*Assumptions!$B$48</x:f>
        <x:v>0</x:v>
      </x:c>
      <x:c r="G35" s="379" t="n">
        <x:f>G31*Assumptions!$B$48</x:f>
        <x:v>0</x:v>
      </x:c>
      <x:c r="H35" s="379" t="n">
        <x:f>H31*Assumptions!$B$48</x:f>
        <x:v>0</x:v>
      </x:c>
      <x:c r="I35" s="379" t="n">
        <x:f>I31*Assumptions!$B$48</x:f>
        <x:v>173728.125</x:v>
      </x:c>
      <x:c r="J35" s="379" t="n">
        <x:f>J31*Assumptions!$B$48</x:f>
        <x:v>231637.5</x:v>
      </x:c>
      <x:c r="K35" s="379" t="n">
        <x:f>K31*Assumptions!$B$48</x:f>
        <x:v>231637.5</x:v>
      </x:c>
      <x:c r="L35" s="379" t="n">
        <x:f>L31*Assumptions!$B$48</x:f>
        <x:v>231637.5</x:v>
      </x:c>
      <x:c r="M35" s="379" t="n">
        <x:f>M31*Assumptions!$B$48</x:f>
        <x:v>231637.5</x:v>
      </x:c>
      <x:c r="N35" s="379" t="n">
        <x:f>N31*Assumptions!$B$48</x:f>
        <x:v>231637.5</x:v>
      </x:c>
      <x:c r="O35" s="379" t="n">
        <x:f>O31*Assumptions!$B$48</x:f>
        <x:v>231637.5</x:v>
      </x:c>
      <x:c r="P35" s="379" t="n">
        <x:f>P31*Assumptions!$B$48</x:f>
        <x:v>463275</x:v>
      </x:c>
      <x:c r="Q35" s="379" t="n">
        <x:f>Q31*Assumptions!$B$48</x:f>
        <x:v>540487.5</x:v>
      </x:c>
      <x:c r="R35" s="379" t="n">
        <x:f>R31*Assumptions!$B$48</x:f>
        <x:v>887943.75</x:v>
      </x:c>
      <x:c r="S35" s="379" t="n">
        <x:f>S31*Assumptions!$B$48</x:f>
        <x:v>1003762.5</x:v>
      </x:c>
      <x:c r="T35" s="379" t="n">
        <x:f>T31*Assumptions!$B$48</x:f>
        <x:v>1409128.125</x:v>
      </x:c>
      <x:c r="U35" s="379" t="n">
        <x:f>U31*Assumptions!$B$48</x:f>
        <x:v>1544250</x:v>
      </x:c>
      <x:c r="V35" s="379" t="n">
        <x:f>V31*Assumptions!$B$48</x:f>
        <x:v>2702437.5</x:v>
      </x:c>
      <x:c r="W35" s="227"/>
      <x:c r="X35" s="227"/>
      <x:c r="Y35" s="227"/>
      <x:c r="Z35" s="227"/>
    </x:row>
    <x:row r="36">
      <x:c r="A36" s="337" t="str">
        <x:v>Total vending revenue</x:v>
      </x:c>
      <x:c r="B36" s="387" t="n">
        <x:f>B34+B35</x:f>
        <x:v>0</x:v>
      </x:c>
      <x:c r="C36" s="387" t="n">
        <x:f>C34+C35</x:f>
        <x:v>0</x:v>
      </x:c>
      <x:c r="D36" s="387" t="n">
        <x:f>D34+D35</x:f>
        <x:v>7455</x:v>
      </x:c>
      <x:c r="E36" s="387" t="n">
        <x:f>E34+E35</x:f>
        <x:v>10295</x:v>
      </x:c>
      <x:c r="F36" s="387" t="n">
        <x:f>F34+F35</x:f>
        <x:v>14910</x:v>
      </x:c>
      <x:c r="G36" s="387" t="n">
        <x:f>G34+G35</x:f>
        <x:v>14910</x:v>
      </x:c>
      <x:c r="H36" s="387" t="n">
        <x:f>H34+H35</x:f>
        <x:v>14910</x:v>
      </x:c>
      <x:c r="I36" s="387" t="n">
        <x:f>I34+I35</x:f>
        <x:v>188638.125</x:v>
      </x:c>
      <x:c r="J36" s="387" t="n">
        <x:f>J34+J35</x:f>
        <x:v>246547.5</x:v>
      </x:c>
      <x:c r="K36" s="387" t="n">
        <x:f>K34+K35</x:f>
        <x:v>246547.5</x:v>
      </x:c>
      <x:c r="L36" s="387" t="n">
        <x:f>L34+L35</x:f>
        <x:v>246547.5</x:v>
      </x:c>
      <x:c r="M36" s="387" t="n">
        <x:f>M34+M35</x:f>
        <x:v>246547.5</x:v>
      </x:c>
      <x:c r="N36" s="387" t="n">
        <x:f>N34+N35</x:f>
        <x:v>246547.5</x:v>
      </x:c>
      <x:c r="O36" s="387" t="n">
        <x:f>O34+O35</x:f>
        <x:v>246547.5</x:v>
      </x:c>
      <x:c r="P36" s="387" t="n">
        <x:f>P34+P35</x:f>
        <x:v>478185</x:v>
      </x:c>
      <x:c r="Q36" s="387" t="n">
        <x:f>Q34+Q35</x:f>
        <x:v>555397.5</x:v>
      </x:c>
      <x:c r="R36" s="387" t="n">
        <x:f>R34+R35</x:f>
        <x:v>902853.75</x:v>
      </x:c>
      <x:c r="S36" s="387" t="n">
        <x:f>S34+S35</x:f>
        <x:v>1018672.5</x:v>
      </x:c>
      <x:c r="T36" s="387" t="n">
        <x:f>T34+T35</x:f>
        <x:v>1424038.125</x:v>
      </x:c>
      <x:c r="U36" s="387" t="n">
        <x:f>U34+U35</x:f>
        <x:v>1559160</x:v>
      </x:c>
      <x:c r="V36" s="387" t="n">
        <x:f>V34+V35</x:f>
        <x:v>2717347.5</x:v>
      </x:c>
      <x:c r="W36" s="227"/>
      <x:c r="X36" s="227"/>
      <x:c r="Y36" s="227"/>
      <x:c r="Z36" s="227"/>
    </x:row>
    <x:row r="37">
      <x:c r="A37" s="327" t="str">
        <x:v>Manufacturing COGS (P&amp;L)</x:v>
      </x:c>
      <x:c r="B37" s="379" t="n">
        <x:f>B32*Assumptions!$B$50</x:f>
        <x:v>0</x:v>
      </x:c>
      <x:c r="C37" s="379" t="n">
        <x:f>C32*Assumptions!$B$50</x:f>
        <x:v>0</x:v>
      </x:c>
      <x:c r="D37" s="379" t="n">
        <x:f>D32*Assumptions!$B$50</x:f>
        <x:v>1458.6599999999999</x:v>
      </x:c>
      <x:c r="E37" s="379" t="n">
        <x:f>E32*Assumptions!$B$50</x:f>
        <x:v>2014.34</x:v>
      </x:c>
      <x:c r="F37" s="379" t="n">
        <x:f>F32*Assumptions!$B$50</x:f>
        <x:v>2917.3199999999997</x:v>
      </x:c>
      <x:c r="G37" s="379" t="n">
        <x:f>G32*Assumptions!$B$50</x:f>
        <x:v>2917.3199999999997</x:v>
      </x:c>
      <x:c r="H37" s="379" t="n">
        <x:f>H32*Assumptions!$B$50</x:f>
        <x:v>2917.3199999999997</x:v>
      </x:c>
      <x:c r="I37" s="379" t="n">
        <x:f>I32*Assumptions!$B$50</x:f>
        <x:v>36909.307499999995</x:v>
      </x:c>
      <x:c r="J37" s="379" t="n">
        <x:f>J32*Assumptions!$B$50</x:f>
        <x:v>48239.97</x:v>
      </x:c>
      <x:c r="K37" s="379" t="n">
        <x:f>K32*Assumptions!$B$50</x:f>
        <x:v>48239.97</x:v>
      </x:c>
      <x:c r="L37" s="379" t="n">
        <x:f>L32*Assumptions!$B$50</x:f>
        <x:v>48239.97</x:v>
      </x:c>
      <x:c r="M37" s="379" t="n">
        <x:f>M32*Assumptions!$B$50</x:f>
        <x:v>48239.97</x:v>
      </x:c>
      <x:c r="N37" s="379" t="n">
        <x:f>N32*Assumptions!$B$50</x:f>
        <x:v>48239.97</x:v>
      </x:c>
      <x:c r="O37" s="379" t="n">
        <x:f>O32*Assumptions!$B$50</x:f>
        <x:v>48239.97</x:v>
      </x:c>
      <x:c r="P37" s="379" t="n">
        <x:f>P32*Assumptions!$B$50</x:f>
        <x:v>93562.62</x:v>
      </x:c>
      <x:c r="Q37" s="379" t="n">
        <x:f>Q32*Assumptions!$B$50</x:f>
        <x:v>108670.17</x:v>
      </x:c>
      <x:c r="R37" s="379" t="n">
        <x:f>R32*Assumptions!$B$50</x:f>
        <x:v>176654.145</x:v>
      </x:c>
      <x:c r="S37" s="379" t="n">
        <x:f>S32*Assumptions!$B$50</x:f>
        <x:v>199315.47</x:v>
      </x:c>
      <x:c r="T37" s="379" t="n">
        <x:f>T32*Assumptions!$B$50</x:f>
        <x:v>278630.1075</x:v>
      </x:c>
      <x:c r="U37" s="379" t="n">
        <x:f>U32*Assumptions!$B$50</x:f>
        <x:v>305068.32</x:v>
      </x:c>
      <x:c r="V37" s="379" t="n">
        <x:f>V32*Assumptions!$B$50</x:f>
        <x:v>531681.57</x:v>
      </x:c>
      <x:c r="W37" s="227"/>
      <x:c r="X37" s="227"/>
      <x:c r="Y37" s="227"/>
      <x:c r="Z37" s="227"/>
    </x:row>
    <x:row r="38">
      <x:c r="A38" s="327" t="str">
        <x:v>Location revenue share</x:v>
      </x:c>
      <x:c r="B38" s="379" t="n">
        <x:f>B35*Assumptions!$B$54</x:f>
        <x:v>0</x:v>
      </x:c>
      <x:c r="C38" s="379" t="n">
        <x:f>C35*Assumptions!$B$54</x:f>
        <x:v>0</x:v>
      </x:c>
      <x:c r="D38" s="379" t="n">
        <x:f>D35*Assumptions!$B$54</x:f>
        <x:v>0</x:v>
      </x:c>
      <x:c r="E38" s="379" t="n">
        <x:f>E35*Assumptions!$B$54</x:f>
        <x:v>0</x:v>
      </x:c>
      <x:c r="F38" s="379" t="n">
        <x:f>F35*Assumptions!$B$54</x:f>
        <x:v>0</x:v>
      </x:c>
      <x:c r="G38" s="379" t="n">
        <x:f>G35*Assumptions!$B$54</x:f>
        <x:v>0</x:v>
      </x:c>
      <x:c r="H38" s="379" t="n">
        <x:f>H35*Assumptions!$B$54</x:f>
        <x:v>0</x:v>
      </x:c>
      <x:c r="I38" s="379" t="n">
        <x:f>I35*Assumptions!$B$54</x:f>
        <x:v>26059.21875</x:v>
      </x:c>
      <x:c r="J38" s="379" t="n">
        <x:f>J35*Assumptions!$B$54</x:f>
        <x:v>34745.625</x:v>
      </x:c>
      <x:c r="K38" s="379" t="n">
        <x:f>K35*Assumptions!$B$54</x:f>
        <x:v>34745.625</x:v>
      </x:c>
      <x:c r="L38" s="379" t="n">
        <x:f>L35*Assumptions!$B$54</x:f>
        <x:v>34745.625</x:v>
      </x:c>
      <x:c r="M38" s="379" t="n">
        <x:f>M35*Assumptions!$B$54</x:f>
        <x:v>34745.625</x:v>
      </x:c>
      <x:c r="N38" s="379" t="n">
        <x:f>N35*Assumptions!$B$54</x:f>
        <x:v>34745.625</x:v>
      </x:c>
      <x:c r="O38" s="379" t="n">
        <x:f>O35*Assumptions!$B$54</x:f>
        <x:v>34745.625</x:v>
      </x:c>
      <x:c r="P38" s="379" t="n">
        <x:f>P35*Assumptions!$B$54</x:f>
        <x:v>69491.25</x:v>
      </x:c>
      <x:c r="Q38" s="379" t="n">
        <x:f>Q35*Assumptions!$B$54</x:f>
        <x:v>81073.125</x:v>
      </x:c>
      <x:c r="R38" s="379" t="n">
        <x:f>R35*Assumptions!$B$54</x:f>
        <x:v>133191.5625</x:v>
      </x:c>
      <x:c r="S38" s="379" t="n">
        <x:f>S35*Assumptions!$B$54</x:f>
        <x:v>150564.375</x:v>
      </x:c>
      <x:c r="T38" s="379" t="n">
        <x:f>T35*Assumptions!$B$54</x:f>
        <x:v>211369.21875</x:v>
      </x:c>
      <x:c r="U38" s="379" t="n">
        <x:f>U35*Assumptions!$B$54</x:f>
        <x:v>231637.5</x:v>
      </x:c>
      <x:c r="V38" s="379" t="n">
        <x:f>V35*Assumptions!$B$54</x:f>
        <x:v>405365.625</x:v>
      </x:c>
      <x:c r="W38" s="227"/>
      <x:c r="X38" s="227"/>
      <x:c r="Y38" s="227"/>
      <x:c r="Z38" s="227"/>
    </x:row>
    <x:row r="39">
      <x:c r="A39" s="327" t="str">
        <x:v>Logistics expense (P&amp;L)</x:v>
      </x:c>
      <x:c r="B39" s="379" t="n">
        <x:f>B36*Assumptions!$B$56</x:f>
        <x:v>0</x:v>
      </x:c>
      <x:c r="C39" s="379" t="n">
        <x:f>C36*Assumptions!$B$56</x:f>
        <x:v>0</x:v>
      </x:c>
      <x:c r="D39" s="379" t="n">
        <x:f>D36*Assumptions!$B$56</x:f>
        <x:v>521.85</x:v>
      </x:c>
      <x:c r="E39" s="379" t="n">
        <x:f>E36*Assumptions!$B$56</x:f>
        <x:v>720.6500000000001</x:v>
      </x:c>
      <x:c r="F39" s="379" t="n">
        <x:f>F36*Assumptions!$B$56</x:f>
        <x:v>1043.7</x:v>
      </x:c>
      <x:c r="G39" s="379" t="n">
        <x:f>G36*Assumptions!$B$56</x:f>
        <x:v>1043.7</x:v>
      </x:c>
      <x:c r="H39" s="379" t="n">
        <x:f>H36*Assumptions!$B$56</x:f>
        <x:v>1043.7</x:v>
      </x:c>
      <x:c r="I39" s="379" t="n">
        <x:f>I36*Assumptions!$B$56</x:f>
        <x:v>13204.66875</x:v>
      </x:c>
      <x:c r="J39" s="379" t="n">
        <x:f>J36*Assumptions!$B$56</x:f>
        <x:v>17258.325</x:v>
      </x:c>
      <x:c r="K39" s="379" t="n">
        <x:f>K36*Assumptions!$B$56</x:f>
        <x:v>17258.325</x:v>
      </x:c>
      <x:c r="L39" s="379" t="n">
        <x:f>L36*Assumptions!$B$56</x:f>
        <x:v>17258.325</x:v>
      </x:c>
      <x:c r="M39" s="379" t="n">
        <x:f>M36*Assumptions!$B$56</x:f>
        <x:v>17258.325</x:v>
      </x:c>
      <x:c r="N39" s="379" t="n">
        <x:f>N36*Assumptions!$B$56</x:f>
        <x:v>17258.325</x:v>
      </x:c>
      <x:c r="O39" s="379" t="n">
        <x:f>O36*Assumptions!$B$56</x:f>
        <x:v>17258.325</x:v>
      </x:c>
      <x:c r="P39" s="379" t="n">
        <x:f>P36*Assumptions!$B$56</x:f>
        <x:v>33472.950000000004</x:v>
      </x:c>
      <x:c r="Q39" s="379" t="n">
        <x:f>Q36*Assumptions!$B$56</x:f>
        <x:v>38877.825000000004</x:v>
      </x:c>
      <x:c r="R39" s="379" t="n">
        <x:f>R36*Assumptions!$B$56</x:f>
        <x:v>63199.762500000004</x:v>
      </x:c>
      <x:c r="S39" s="379" t="n">
        <x:f>S36*Assumptions!$B$56</x:f>
        <x:v>71307.07500000001</x:v>
      </x:c>
      <x:c r="T39" s="379" t="n">
        <x:f>T36*Assumptions!$B$56</x:f>
        <x:v>99682.66875000001</x:v>
      </x:c>
      <x:c r="U39" s="379" t="n">
        <x:f>U36*Assumptions!$B$56</x:f>
        <x:v>109141.20000000001</x:v>
      </x:c>
      <x:c r="V39" s="379" t="n">
        <x:f>V36*Assumptions!$B$56</x:f>
        <x:v>190214.325</x:v>
      </x:c>
      <x:c r="W39" s="227"/>
      <x:c r="X39" s="227"/>
      <x:c r="Y39" s="227"/>
      <x:c r="Z39" s="227"/>
    </x:row>
    <x:row r="40">
      <x:c r="A40" s="327" t="str">
        <x:v>Payment processing</x:v>
      </x:c>
      <x:c r="B40" s="379" t="n">
        <x:f>B36*Assumptions!$B$83</x:f>
        <x:v>0</x:v>
      </x:c>
      <x:c r="C40" s="379" t="n">
        <x:f>C36*Assumptions!$B$83</x:f>
        <x:v>0</x:v>
      </x:c>
      <x:c r="D40" s="379" t="n">
        <x:f>D36*Assumptions!$B$83</x:f>
        <x:v>134.19</x:v>
      </x:c>
      <x:c r="E40" s="379" t="n">
        <x:f>E36*Assumptions!$B$83</x:f>
        <x:v>185.30999999999997</x:v>
      </x:c>
      <x:c r="F40" s="379" t="n">
        <x:f>F36*Assumptions!$B$83</x:f>
        <x:v>268.38</x:v>
      </x:c>
      <x:c r="G40" s="379" t="n">
        <x:f>G36*Assumptions!$B$83</x:f>
        <x:v>268.38</x:v>
      </x:c>
      <x:c r="H40" s="379" t="n">
        <x:f>H36*Assumptions!$B$83</x:f>
        <x:v>268.38</x:v>
      </x:c>
      <x:c r="I40" s="379" t="n">
        <x:f>I36*Assumptions!$B$83</x:f>
        <x:v>3395.48625</x:v>
      </x:c>
      <x:c r="J40" s="379" t="n">
        <x:f>J36*Assumptions!$B$83</x:f>
        <x:v>4437.855</x:v>
      </x:c>
      <x:c r="K40" s="379" t="n">
        <x:f>K36*Assumptions!$B$83</x:f>
        <x:v>4437.855</x:v>
      </x:c>
      <x:c r="L40" s="379" t="n">
        <x:f>L36*Assumptions!$B$83</x:f>
        <x:v>4437.855</x:v>
      </x:c>
      <x:c r="M40" s="379" t="n">
        <x:f>M36*Assumptions!$B$83</x:f>
        <x:v>4437.855</x:v>
      </x:c>
      <x:c r="N40" s="379" t="n">
        <x:f>N36*Assumptions!$B$83</x:f>
        <x:v>4437.855</x:v>
      </x:c>
      <x:c r="O40" s="379" t="n">
        <x:f>O36*Assumptions!$B$83</x:f>
        <x:v>4437.855</x:v>
      </x:c>
      <x:c r="P40" s="379" t="n">
        <x:f>P36*Assumptions!$B$83</x:f>
        <x:v>8607.33</x:v>
      </x:c>
      <x:c r="Q40" s="379" t="n">
        <x:f>Q36*Assumptions!$B$83</x:f>
        <x:v>9997.154999999999</x:v>
      </x:c>
      <x:c r="R40" s="379" t="n">
        <x:f>R36*Assumptions!$B$83</x:f>
        <x:v>16251.367499999998</x:v>
      </x:c>
      <x:c r="S40" s="379" t="n">
        <x:f>S36*Assumptions!$B$83</x:f>
        <x:v>18336.105</x:v>
      </x:c>
      <x:c r="T40" s="379" t="n">
        <x:f>T36*Assumptions!$B$83</x:f>
        <x:v>25632.68625</x:v>
      </x:c>
      <x:c r="U40" s="379" t="n">
        <x:f>U36*Assumptions!$B$83</x:f>
        <x:v>28064.879999999997</x:v>
      </x:c>
      <x:c r="V40" s="379" t="n">
        <x:f>V36*Assumptions!$B$83</x:f>
        <x:v>48912.255</x:v>
      </x:c>
      <x:c r="W40" s="227"/>
      <x:c r="X40" s="227"/>
      <x:c r="Y40" s="227"/>
      <x:c r="Z40" s="227"/>
    </x:row>
    <x:row r="41">
      <x:c r="A41" s="327" t="str">
        <x:v>Handling / replenishment</x:v>
      </x:c>
      <x:c r="B41" s="379" t="n">
        <x:f>B32*Assumptions!$B$58</x:f>
        <x:v>0</x:v>
      </x:c>
      <x:c r="C41" s="379" t="n">
        <x:f>C32*Assumptions!$B$58</x:f>
        <x:v>0</x:v>
      </x:c>
      <x:c r="D41" s="379" t="n">
        <x:f>D32*Assumptions!$B$58</x:f>
        <x:v>105</x:v>
      </x:c>
      <x:c r="E41" s="379" t="n">
        <x:f>E32*Assumptions!$B$58</x:f>
        <x:v>145</x:v>
      </x:c>
      <x:c r="F41" s="379" t="n">
        <x:f>F32*Assumptions!$B$58</x:f>
        <x:v>210</x:v>
      </x:c>
      <x:c r="G41" s="379" t="n">
        <x:f>G32*Assumptions!$B$58</x:f>
        <x:v>210</x:v>
      </x:c>
      <x:c r="H41" s="379" t="n">
        <x:f>H32*Assumptions!$B$58</x:f>
        <x:v>210</x:v>
      </x:c>
      <x:c r="I41" s="379" t="n">
        <x:f>I32*Assumptions!$B$58</x:f>
        <x:v>2656.875</x:v>
      </x:c>
      <x:c r="J41" s="379" t="n">
        <x:f>J32*Assumptions!$B$58</x:f>
        <x:v>3472.5</x:v>
      </x:c>
      <x:c r="K41" s="379" t="n">
        <x:f>K32*Assumptions!$B$58</x:f>
        <x:v>3472.5</x:v>
      </x:c>
      <x:c r="L41" s="379" t="n">
        <x:f>L32*Assumptions!$B$58</x:f>
        <x:v>3472.5</x:v>
      </x:c>
      <x:c r="M41" s="379" t="n">
        <x:f>M32*Assumptions!$B$58</x:f>
        <x:v>3472.5</x:v>
      </x:c>
      <x:c r="N41" s="379" t="n">
        <x:f>N32*Assumptions!$B$58</x:f>
        <x:v>3472.5</x:v>
      </x:c>
      <x:c r="O41" s="379" t="n">
        <x:f>O32*Assumptions!$B$58</x:f>
        <x:v>3472.5</x:v>
      </x:c>
      <x:c r="P41" s="379" t="n">
        <x:f>P32*Assumptions!$B$58</x:f>
        <x:v>6735</x:v>
      </x:c>
      <x:c r="Q41" s="379" t="n">
        <x:f>Q32*Assumptions!$B$58</x:f>
        <x:v>7822.5</x:v>
      </x:c>
      <x:c r="R41" s="379" t="n">
        <x:f>R32*Assumptions!$B$58</x:f>
        <x:v>12716.25</x:v>
      </x:c>
      <x:c r="S41" s="379" t="n">
        <x:f>S32*Assumptions!$B$58</x:f>
        <x:v>14347.5</x:v>
      </x:c>
      <x:c r="T41" s="379" t="n">
        <x:f>T32*Assumptions!$B$58</x:f>
        <x:v>20056.875</x:v>
      </x:c>
      <x:c r="U41" s="379" t="n">
        <x:f>U32*Assumptions!$B$58</x:f>
        <x:v>21960</x:v>
      </x:c>
      <x:c r="V41" s="379" t="n">
        <x:f>V32*Assumptions!$B$58</x:f>
        <x:v>38272.5</x:v>
      </x:c>
      <x:c r="W41" s="227"/>
      <x:c r="X41" s="227"/>
      <x:c r="Y41" s="227"/>
      <x:c r="Z41" s="227"/>
    </x:row>
    <x:row r="42">
      <x:c r="A42" s="337" t="str">
        <x:v>Vending contribution</x:v>
      </x:c>
      <x:c r="B42" s="387" t="n">
        <x:f>B36-SUM(B37:B41)</x:f>
        <x:v>0</x:v>
      </x:c>
      <x:c r="C42" s="387" t="n">
        <x:f>C36-SUM(C37:C41)</x:f>
        <x:v>0</x:v>
      </x:c>
      <x:c r="D42" s="387" t="n">
        <x:f>D36-SUM(D37:D41)</x:f>
        <x:v>5235.3</x:v>
      </x:c>
      <x:c r="E42" s="387" t="n">
        <x:f>E36-SUM(E37:E41)</x:f>
        <x:v>7229.700000000001</x:v>
      </x:c>
      <x:c r="F42" s="387" t="n">
        <x:f>F36-SUM(F37:F41)</x:f>
        <x:v>10470.6</x:v>
      </x:c>
      <x:c r="G42" s="387" t="n">
        <x:f>G36-SUM(G37:G41)</x:f>
        <x:v>10470.6</x:v>
      </x:c>
      <x:c r="H42" s="387" t="n">
        <x:f>H36-SUM(H37:H41)</x:f>
        <x:v>10470.6</x:v>
      </x:c>
      <x:c r="I42" s="387" t="n">
        <x:f>I36-SUM(I37:I41)</x:f>
        <x:v>106412.56875</x:v>
      </x:c>
      <x:c r="J42" s="387" t="n">
        <x:f>J36-SUM(J37:J41)</x:f>
        <x:v>138393.225</x:v>
      </x:c>
      <x:c r="K42" s="387" t="n">
        <x:f>K36-SUM(K37:K41)</x:f>
        <x:v>138393.225</x:v>
      </x:c>
      <x:c r="L42" s="387" t="n">
        <x:f>L36-SUM(L37:L41)</x:f>
        <x:v>138393.225</x:v>
      </x:c>
      <x:c r="M42" s="387" t="n">
        <x:f>M36-SUM(M37:M41)</x:f>
        <x:v>138393.225</x:v>
      </x:c>
      <x:c r="N42" s="387" t="n">
        <x:f>N36-SUM(N37:N41)</x:f>
        <x:v>138393.225</x:v>
      </x:c>
      <x:c r="O42" s="387" t="n">
        <x:f>O36-SUM(O37:O41)</x:f>
        <x:v>138393.225</x:v>
      </x:c>
      <x:c r="P42" s="387" t="n">
        <x:f>P36-SUM(P37:P41)</x:f>
        <x:v>266315.85</x:v>
      </x:c>
      <x:c r="Q42" s="387" t="n">
        <x:f>Q36-SUM(Q37:Q41)</x:f>
        <x:v>308956.725</x:v>
      </x:c>
      <x:c r="R42" s="387" t="n">
        <x:f>R36-SUM(R37:R41)</x:f>
        <x:v>500840.6625</x:v>
      </x:c>
      <x:c r="S42" s="387" t="n">
        <x:f>S36-SUM(S37:S41)</x:f>
        <x:v>564801.9750000001</x:v>
      </x:c>
      <x:c r="T42" s="387" t="n">
        <x:f>T36-SUM(T37:T41)</x:f>
        <x:v>788666.56875</x:v>
      </x:c>
      <x:c r="U42" s="387" t="n">
        <x:f>U36-SUM(U37:U41)</x:f>
        <x:v>863288.1</x:v>
      </x:c>
      <x:c r="V42" s="387" t="n">
        <x:f>V36-SUM(V37:V41)</x:f>
        <x:v>1502901.225</x:v>
      </x:c>
      <x:c r="W42" s="227"/>
      <x:c r="X42" s="227"/>
      <x:c r="Y42" s="227"/>
      <x:c r="Z42" s="227"/>
    </x:row>
    <x:row r="43">
      <x:c r="A43" s="327"/>
      <x:c r="B43" s="385"/>
      <x:c r="C43" s="385"/>
      <x:c r="D43" s="385"/>
      <x:c r="E43" s="385"/>
      <x:c r="F43" s="385"/>
      <x:c r="G43" s="385"/>
      <x:c r="H43" s="385"/>
      <x:c r="I43" s="385"/>
      <x:c r="J43" s="385"/>
      <x:c r="K43" s="385"/>
      <x:c r="L43" s="385"/>
      <x:c r="M43" s="385"/>
      <x:c r="N43" s="385"/>
      <x:c r="O43" s="385"/>
      <x:c r="P43" s="385"/>
      <x:c r="Q43" s="385"/>
      <x:c r="R43" s="385"/>
      <x:c r="S43" s="385"/>
      <x:c r="T43" s="385"/>
      <x:c r="U43" s="385"/>
      <x:c r="V43" s="385"/>
      <x:c r="W43" s="227"/>
      <x:c r="X43" s="227"/>
      <x:c r="Y43" s="227"/>
      <x:c r="Z43" s="227"/>
    </x:row>
    <x:row r="44" ht="23" customHeight="1">
      <x:c r="A44" s="335" t="str">
        <x:v>FOOTBALL-CLUB MEMBER CAMPAIGNS</x:v>
      </x:c>
      <x:c r="B44" s="386" t="str">
        <x:v>FOOTBALL-CLUB MEMBER CAMPAIGNS</x:v>
      </x:c>
      <x:c r="C44" s="386" t="str">
        <x:v>FOOTBALL-CLUB MEMBER CAMPAIGNS</x:v>
      </x:c>
      <x:c r="D44" s="386" t="str">
        <x:v>FOOTBALL-CLUB MEMBER CAMPAIGNS</x:v>
      </x:c>
      <x:c r="E44" s="386" t="str">
        <x:v>FOOTBALL-CLUB MEMBER CAMPAIGNS</x:v>
      </x:c>
      <x:c r="F44" s="386" t="str">
        <x:v>FOOTBALL-CLUB MEMBER CAMPAIGNS</x:v>
      </x:c>
      <x:c r="G44" s="386" t="str">
        <x:v>FOOTBALL-CLUB MEMBER CAMPAIGNS</x:v>
      </x:c>
      <x:c r="H44" s="386" t="str">
        <x:v>FOOTBALL-CLUB MEMBER CAMPAIGNS</x:v>
      </x:c>
      <x:c r="I44" s="386" t="str">
        <x:v>FOOTBALL-CLUB MEMBER CAMPAIGNS</x:v>
      </x:c>
      <x:c r="J44" s="386" t="str">
        <x:v>FOOTBALL-CLUB MEMBER CAMPAIGNS</x:v>
      </x:c>
      <x:c r="K44" s="386" t="str">
        <x:v>FOOTBALL-CLUB MEMBER CAMPAIGNS</x:v>
      </x:c>
      <x:c r="L44" s="386" t="str">
        <x:v>FOOTBALL-CLUB MEMBER CAMPAIGNS</x:v>
      </x:c>
      <x:c r="M44" s="386" t="str">
        <x:v>FOOTBALL-CLUB MEMBER CAMPAIGNS</x:v>
      </x:c>
      <x:c r="N44" s="386" t="str">
        <x:v>FOOTBALL-CLUB MEMBER CAMPAIGNS</x:v>
      </x:c>
      <x:c r="O44" s="386" t="str">
        <x:v>FOOTBALL-CLUB MEMBER CAMPAIGNS</x:v>
      </x:c>
      <x:c r="P44" s="386" t="str">
        <x:v>FOOTBALL-CLUB MEMBER CAMPAIGNS</x:v>
      </x:c>
      <x:c r="Q44" s="386" t="str">
        <x:v>FOOTBALL-CLUB MEMBER CAMPAIGNS</x:v>
      </x:c>
      <x:c r="R44" s="386" t="str">
        <x:v>FOOTBALL-CLUB MEMBER CAMPAIGNS</x:v>
      </x:c>
      <x:c r="S44" s="386" t="str">
        <x:v>FOOTBALL-CLUB MEMBER CAMPAIGNS</x:v>
      </x:c>
      <x:c r="T44" s="386" t="str">
        <x:v>FOOTBALL-CLUB MEMBER CAMPAIGNS</x:v>
      </x:c>
      <x:c r="U44" s="386" t="str">
        <x:v>FOOTBALL-CLUB MEMBER CAMPAIGNS</x:v>
      </x:c>
      <x:c r="V44" s="386" t="str">
        <x:v>FOOTBALL-CLUB MEMBER CAMPAIGNS</x:v>
      </x:c>
      <x:c r="W44" s="227"/>
      <x:c r="X44" s="227"/>
      <x:c r="Y44" s="227"/>
      <x:c r="Z44" s="227"/>
    </x:row>
    <x:row r="45">
      <x:c r="A45" s="327" t="str">
        <x:v>Club order flag</x:v>
      </x:c>
      <x:c r="B45" s="381" t="n">
        <x:v>0</x:v>
      </x:c>
      <x:c r="C45" s="381" t="n">
        <x:v>0</x:v>
      </x:c>
      <x:c r="D45" s="381" t="n">
        <x:v>0</x:v>
      </x:c>
      <x:c r="E45" s="381" t="n">
        <x:v>0</x:v>
      </x:c>
      <x:c r="F45" s="381" t="n">
        <x:v>1</x:v>
      </x:c>
      <x:c r="G45" s="381" t="n">
        <x:v>0</x:v>
      </x:c>
      <x:c r="H45" s="381" t="n">
        <x:v>0</x:v>
      </x:c>
      <x:c r="I45" s="381" t="n">
        <x:v>1</x:v>
      </x:c>
      <x:c r="J45" s="381" t="n">
        <x:v>0</x:v>
      </x:c>
      <x:c r="K45" s="381" t="n">
        <x:v>0</x:v>
      </x:c>
      <x:c r="L45" s="381" t="n">
        <x:v>1</x:v>
      </x:c>
      <x:c r="M45" s="381" t="n">
        <x:v>0</x:v>
      </x:c>
      <x:c r="N45" s="381" t="n">
        <x:v>0</x:v>
      </x:c>
      <x:c r="O45" s="381" t="n">
        <x:v>1</x:v>
      </x:c>
      <x:c r="P45" s="381" t="n">
        <x:v>0</x:v>
      </x:c>
      <x:c r="Q45" s="381" t="n">
        <x:v>0</x:v>
      </x:c>
      <x:c r="R45" s="381" t="n">
        <x:v>1</x:v>
      </x:c>
      <x:c r="S45" s="381" t="n">
        <x:v>0</x:v>
      </x:c>
      <x:c r="T45" s="381" t="n">
        <x:v>0</x:v>
      </x:c>
      <x:c r="U45" s="381" t="n">
        <x:v>1</x:v>
      </x:c>
      <x:c r="V45" s="381" t="n">
        <x:v>0</x:v>
      </x:c>
      <x:c r="W45" s="227"/>
      <x:c r="X45" s="227"/>
      <x:c r="Y45" s="227"/>
      <x:c r="Z45" s="227"/>
    </x:row>
    <x:row r="46">
      <x:c r="A46" s="327" t="str">
        <x:v>Club delivery flag</x:v>
      </x:c>
      <x:c r="B46" s="382" t="n">
        <x:f>0</x:f>
        <x:v>0</x:v>
      </x:c>
      <x:c r="C46" s="382" t="n">
        <x:f>0</x:f>
        <x:v>0</x:v>
      </x:c>
      <x:c r="D46" s="382" t="n">
        <x:f>B45</x:f>
        <x:v>0</x:v>
      </x:c>
      <x:c r="E46" s="382" t="n">
        <x:f>C45</x:f>
        <x:v>0</x:v>
      </x:c>
      <x:c r="F46" s="382" t="n">
        <x:f>D45</x:f>
        <x:v>0</x:v>
      </x:c>
      <x:c r="G46" s="382" t="n">
        <x:f>E45</x:f>
        <x:v>0</x:v>
      </x:c>
      <x:c r="H46" s="382" t="n">
        <x:f>F45</x:f>
        <x:v>1</x:v>
      </x:c>
      <x:c r="I46" s="382" t="n">
        <x:f>G45</x:f>
        <x:v>0</x:v>
      </x:c>
      <x:c r="J46" s="382" t="n">
        <x:f>H45</x:f>
        <x:v>0</x:v>
      </x:c>
      <x:c r="K46" s="382" t="n">
        <x:f>I45</x:f>
        <x:v>1</x:v>
      </x:c>
      <x:c r="L46" s="382" t="n">
        <x:f>J45</x:f>
        <x:v>0</x:v>
      </x:c>
      <x:c r="M46" s="382" t="n">
        <x:f>K45</x:f>
        <x:v>0</x:v>
      </x:c>
      <x:c r="N46" s="382" t="n">
        <x:f>L45</x:f>
        <x:v>1</x:v>
      </x:c>
      <x:c r="O46" s="382" t="n">
        <x:f>M45</x:f>
        <x:v>0</x:v>
      </x:c>
      <x:c r="P46" s="382" t="n">
        <x:f>N45</x:f>
        <x:v>0</x:v>
      </x:c>
      <x:c r="Q46" s="382" t="n">
        <x:f>O45</x:f>
        <x:v>1</x:v>
      </x:c>
      <x:c r="R46" s="382" t="n">
        <x:f>P45</x:f>
        <x:v>0</x:v>
      </x:c>
      <x:c r="S46" s="382" t="n">
        <x:f>Q45</x:f>
        <x:v>0</x:v>
      </x:c>
      <x:c r="T46" s="382" t="n">
        <x:f>R45</x:f>
        <x:v>1</x:v>
      </x:c>
      <x:c r="U46" s="382" t="n">
        <x:f>S45</x:f>
        <x:v>0</x:v>
      </x:c>
      <x:c r="V46" s="382" t="n">
        <x:f>T45</x:f>
        <x:v>0</x:v>
      </x:c>
      <x:c r="W46" s="227"/>
      <x:c r="X46" s="227"/>
      <x:c r="Y46" s="227"/>
      <x:c r="Z46" s="227"/>
    </x:row>
    <x:row r="47">
      <x:c r="A47" s="337" t="str">
        <x:v>Gross billings recognised</x:v>
      </x:c>
      <x:c r="B47" s="387" t="n">
        <x:f>B46*Assumptions!$B$86</x:f>
        <x:v>0</x:v>
      </x:c>
      <x:c r="C47" s="387" t="n">
        <x:f>C46*Assumptions!$B$86</x:f>
        <x:v>0</x:v>
      </x:c>
      <x:c r="D47" s="387" t="n">
        <x:f>D46*Assumptions!$B$86</x:f>
        <x:v>0</x:v>
      </x:c>
      <x:c r="E47" s="387" t="n">
        <x:f>E46*Assumptions!$B$86</x:f>
        <x:v>0</x:v>
      </x:c>
      <x:c r="F47" s="387" t="n">
        <x:f>F46*Assumptions!$B$86</x:f>
        <x:v>0</x:v>
      </x:c>
      <x:c r="G47" s="387" t="n">
        <x:f>G46*Assumptions!$B$86</x:f>
        <x:v>0</x:v>
      </x:c>
      <x:c r="H47" s="387" t="n">
        <x:f>H46*Assumptions!$B$86</x:f>
        <x:v>200000</x:v>
      </x:c>
      <x:c r="I47" s="387" t="n">
        <x:f>I46*Assumptions!$B$86</x:f>
        <x:v>0</x:v>
      </x:c>
      <x:c r="J47" s="387" t="n">
        <x:f>J46*Assumptions!$B$86</x:f>
        <x:v>0</x:v>
      </x:c>
      <x:c r="K47" s="387" t="n">
        <x:f>K46*Assumptions!$B$86</x:f>
        <x:v>200000</x:v>
      </x:c>
      <x:c r="L47" s="387" t="n">
        <x:f>L46*Assumptions!$B$86</x:f>
        <x:v>0</x:v>
      </x:c>
      <x:c r="M47" s="387" t="n">
        <x:f>M46*Assumptions!$B$86</x:f>
        <x:v>0</x:v>
      </x:c>
      <x:c r="N47" s="387" t="n">
        <x:f>N46*Assumptions!$B$86</x:f>
        <x:v>200000</x:v>
      </x:c>
      <x:c r="O47" s="387" t="n">
        <x:f>O46*Assumptions!$B$86</x:f>
        <x:v>0</x:v>
      </x:c>
      <x:c r="P47" s="387" t="n">
        <x:f>P46*Assumptions!$B$86</x:f>
        <x:v>0</x:v>
      </x:c>
      <x:c r="Q47" s="387" t="n">
        <x:f>Q46*Assumptions!$B$86</x:f>
        <x:v>200000</x:v>
      </x:c>
      <x:c r="R47" s="387" t="n">
        <x:f>R46*Assumptions!$B$86</x:f>
        <x:v>0</x:v>
      </x:c>
      <x:c r="S47" s="387" t="n">
        <x:f>S46*Assumptions!$B$86</x:f>
        <x:v>0</x:v>
      </x:c>
      <x:c r="T47" s="387" t="n">
        <x:f>T46*Assumptions!$B$86</x:f>
        <x:v>200000</x:v>
      </x:c>
      <x:c r="U47" s="387" t="n">
        <x:f>U46*Assumptions!$B$86</x:f>
        <x:v>0</x:v>
      </x:c>
      <x:c r="V47" s="387" t="n">
        <x:f>V46*Assumptions!$B$86</x:f>
        <x:v>0</x:v>
      </x:c>
      <x:c r="W47" s="227"/>
      <x:c r="X47" s="227"/>
      <x:c r="Y47" s="227"/>
      <x:c r="Z47" s="227"/>
    </x:row>
    <x:row r="48">
      <x:c r="A48" s="337" t="str">
        <x:v>MAGNÆRA net revenue after club share</x:v>
      </x:c>
      <x:c r="B48" s="387" t="n">
        <x:f>B47*Assumptions!$B$80</x:f>
        <x:v>0</x:v>
      </x:c>
      <x:c r="C48" s="387" t="n">
        <x:f>C47*Assumptions!$B$80</x:f>
        <x:v>0</x:v>
      </x:c>
      <x:c r="D48" s="387" t="n">
        <x:f>D47*Assumptions!$B$80</x:f>
        <x:v>0</x:v>
      </x:c>
      <x:c r="E48" s="387" t="n">
        <x:f>E47*Assumptions!$B$80</x:f>
        <x:v>0</x:v>
      </x:c>
      <x:c r="F48" s="387" t="n">
        <x:f>F47*Assumptions!$B$80</x:f>
        <x:v>0</x:v>
      </x:c>
      <x:c r="G48" s="387" t="n">
        <x:f>G47*Assumptions!$B$80</x:f>
        <x:v>0</x:v>
      </x:c>
      <x:c r="H48" s="387" t="n">
        <x:f>H47*Assumptions!$B$80</x:f>
        <x:v>120000</x:v>
      </x:c>
      <x:c r="I48" s="387" t="n">
        <x:f>I47*Assumptions!$B$80</x:f>
        <x:v>0</x:v>
      </x:c>
      <x:c r="J48" s="387" t="n">
        <x:f>J47*Assumptions!$B$80</x:f>
        <x:v>0</x:v>
      </x:c>
      <x:c r="K48" s="387" t="n">
        <x:f>K47*Assumptions!$B$80</x:f>
        <x:v>120000</x:v>
      </x:c>
      <x:c r="L48" s="387" t="n">
        <x:f>L47*Assumptions!$B$80</x:f>
        <x:v>0</x:v>
      </x:c>
      <x:c r="M48" s="387" t="n">
        <x:f>M47*Assumptions!$B$80</x:f>
        <x:v>0</x:v>
      </x:c>
      <x:c r="N48" s="387" t="n">
        <x:f>N47*Assumptions!$B$80</x:f>
        <x:v>120000</x:v>
      </x:c>
      <x:c r="O48" s="387" t="n">
        <x:f>O47*Assumptions!$B$80</x:f>
        <x:v>0</x:v>
      </x:c>
      <x:c r="P48" s="387" t="n">
        <x:f>P47*Assumptions!$B$80</x:f>
        <x:v>0</x:v>
      </x:c>
      <x:c r="Q48" s="387" t="n">
        <x:f>Q47*Assumptions!$B$80</x:f>
        <x:v>120000</x:v>
      </x:c>
      <x:c r="R48" s="387" t="n">
        <x:f>R47*Assumptions!$B$80</x:f>
        <x:v>0</x:v>
      </x:c>
      <x:c r="S48" s="387" t="n">
        <x:f>S47*Assumptions!$B$80</x:f>
        <x:v>0</x:v>
      </x:c>
      <x:c r="T48" s="387" t="n">
        <x:f>T47*Assumptions!$B$80</x:f>
        <x:v>120000</x:v>
      </x:c>
      <x:c r="U48" s="387" t="n">
        <x:f>U47*Assumptions!$B$80</x:f>
        <x:v>0</x:v>
      </x:c>
      <x:c r="V48" s="387" t="n">
        <x:f>V47*Assumptions!$B$80</x:f>
        <x:v>0</x:v>
      </x:c>
      <x:c r="W48" s="227"/>
      <x:c r="X48" s="227"/>
      <x:c r="Y48" s="227"/>
      <x:c r="Z48" s="227"/>
    </x:row>
    <x:row r="49">
      <x:c r="A49" s="327" t="str">
        <x:v>Member advance cash</x:v>
      </x:c>
      <x:c r="B49" s="379" t="n">
        <x:f>B45*Assumptions!$B$76*Assumptions!$B$78</x:f>
        <x:v>0</x:v>
      </x:c>
      <x:c r="C49" s="379" t="n">
        <x:f>C45*Assumptions!$B$76*Assumptions!$B$78</x:f>
        <x:v>0</x:v>
      </x:c>
      <x:c r="D49" s="379" t="n">
        <x:f>D45*Assumptions!$B$76*Assumptions!$B$78</x:f>
        <x:v>0</x:v>
      </x:c>
      <x:c r="E49" s="379" t="n">
        <x:f>E45*Assumptions!$B$76*Assumptions!$B$78</x:f>
        <x:v>0</x:v>
      </x:c>
      <x:c r="F49" s="379" t="n">
        <x:f>F45*Assumptions!$B$76*Assumptions!$B$78</x:f>
        <x:v>100000</x:v>
      </x:c>
      <x:c r="G49" s="379" t="n">
        <x:f>G45*Assumptions!$B$76*Assumptions!$B$78</x:f>
        <x:v>0</x:v>
      </x:c>
      <x:c r="H49" s="379" t="n">
        <x:f>H45*Assumptions!$B$76*Assumptions!$B$78</x:f>
        <x:v>0</x:v>
      </x:c>
      <x:c r="I49" s="379" t="n">
        <x:f>I45*Assumptions!$B$76*Assumptions!$B$78</x:f>
        <x:v>100000</x:v>
      </x:c>
      <x:c r="J49" s="379" t="n">
        <x:f>J45*Assumptions!$B$76*Assumptions!$B$78</x:f>
        <x:v>0</x:v>
      </x:c>
      <x:c r="K49" s="379" t="n">
        <x:f>K45*Assumptions!$B$76*Assumptions!$B$78</x:f>
        <x:v>0</x:v>
      </x:c>
      <x:c r="L49" s="379" t="n">
        <x:f>L45*Assumptions!$B$76*Assumptions!$B$78</x:f>
        <x:v>100000</x:v>
      </x:c>
      <x:c r="M49" s="379" t="n">
        <x:f>M45*Assumptions!$B$76*Assumptions!$B$78</x:f>
        <x:v>0</x:v>
      </x:c>
      <x:c r="N49" s="379" t="n">
        <x:f>N45*Assumptions!$B$76*Assumptions!$B$78</x:f>
        <x:v>0</x:v>
      </x:c>
      <x:c r="O49" s="379" t="n">
        <x:f>O45*Assumptions!$B$76*Assumptions!$B$78</x:f>
        <x:v>100000</x:v>
      </x:c>
      <x:c r="P49" s="379" t="n">
        <x:f>P45*Assumptions!$B$76*Assumptions!$B$78</x:f>
        <x:v>0</x:v>
      </x:c>
      <x:c r="Q49" s="379" t="n">
        <x:f>Q45*Assumptions!$B$76*Assumptions!$B$78</x:f>
        <x:v>0</x:v>
      </x:c>
      <x:c r="R49" s="379" t="n">
        <x:f>R45*Assumptions!$B$76*Assumptions!$B$78</x:f>
        <x:v>100000</x:v>
      </x:c>
      <x:c r="S49" s="379" t="n">
        <x:f>S45*Assumptions!$B$76*Assumptions!$B$78</x:f>
        <x:v>0</x:v>
      </x:c>
      <x:c r="T49" s="379" t="n">
        <x:f>T45*Assumptions!$B$76*Assumptions!$B$78</x:f>
        <x:v>0</x:v>
      </x:c>
      <x:c r="U49" s="379" t="n">
        <x:f>U45*Assumptions!$B$76*Assumptions!$B$78</x:f>
        <x:v>100000</x:v>
      </x:c>
      <x:c r="V49" s="379" t="n">
        <x:f>V45*Assumptions!$B$76*Assumptions!$B$78</x:f>
        <x:v>0</x:v>
      </x:c>
      <x:c r="W49" s="227"/>
      <x:c r="X49" s="227"/>
      <x:c r="Y49" s="227"/>
      <x:c r="Z49" s="227"/>
    </x:row>
    <x:row r="50">
      <x:c r="A50" s="327" t="str">
        <x:v>Final cash at delivery</x:v>
      </x:c>
      <x:c r="B50" s="379" t="n">
        <x:f>B46*(Assumptions!$B$86-Assumptions!$B$76*Assumptions!$B$78)</x:f>
        <x:v>0</x:v>
      </x:c>
      <x:c r="C50" s="379" t="n">
        <x:f>C46*(Assumptions!$B$86-Assumptions!$B$76*Assumptions!$B$78)</x:f>
        <x:v>0</x:v>
      </x:c>
      <x:c r="D50" s="379" t="n">
        <x:f>D46*(Assumptions!$B$86-Assumptions!$B$76*Assumptions!$B$78)</x:f>
        <x:v>0</x:v>
      </x:c>
      <x:c r="E50" s="379" t="n">
        <x:f>E46*(Assumptions!$B$86-Assumptions!$B$76*Assumptions!$B$78)</x:f>
        <x:v>0</x:v>
      </x:c>
      <x:c r="F50" s="379" t="n">
        <x:f>F46*(Assumptions!$B$86-Assumptions!$B$76*Assumptions!$B$78)</x:f>
        <x:v>0</x:v>
      </x:c>
      <x:c r="G50" s="379" t="n">
        <x:f>G46*(Assumptions!$B$86-Assumptions!$B$76*Assumptions!$B$78)</x:f>
        <x:v>0</x:v>
      </x:c>
      <x:c r="H50" s="379" t="n">
        <x:f>H46*(Assumptions!$B$86-Assumptions!$B$76*Assumptions!$B$78)</x:f>
        <x:v>100000</x:v>
      </x:c>
      <x:c r="I50" s="379" t="n">
        <x:f>I46*(Assumptions!$B$86-Assumptions!$B$76*Assumptions!$B$78)</x:f>
        <x:v>0</x:v>
      </x:c>
      <x:c r="J50" s="379" t="n">
        <x:f>J46*(Assumptions!$B$86-Assumptions!$B$76*Assumptions!$B$78)</x:f>
        <x:v>0</x:v>
      </x:c>
      <x:c r="K50" s="379" t="n">
        <x:f>K46*(Assumptions!$B$86-Assumptions!$B$76*Assumptions!$B$78)</x:f>
        <x:v>100000</x:v>
      </x:c>
      <x:c r="L50" s="379" t="n">
        <x:f>L46*(Assumptions!$B$86-Assumptions!$B$76*Assumptions!$B$78)</x:f>
        <x:v>0</x:v>
      </x:c>
      <x:c r="M50" s="379" t="n">
        <x:f>M46*(Assumptions!$B$86-Assumptions!$B$76*Assumptions!$B$78)</x:f>
        <x:v>0</x:v>
      </x:c>
      <x:c r="N50" s="379" t="n">
        <x:f>N46*(Assumptions!$B$86-Assumptions!$B$76*Assumptions!$B$78)</x:f>
        <x:v>100000</x:v>
      </x:c>
      <x:c r="O50" s="379" t="n">
        <x:f>O46*(Assumptions!$B$86-Assumptions!$B$76*Assumptions!$B$78)</x:f>
        <x:v>0</x:v>
      </x:c>
      <x:c r="P50" s="379" t="n">
        <x:f>P46*(Assumptions!$B$86-Assumptions!$B$76*Assumptions!$B$78)</x:f>
        <x:v>0</x:v>
      </x:c>
      <x:c r="Q50" s="379" t="n">
        <x:f>Q46*(Assumptions!$B$86-Assumptions!$B$76*Assumptions!$B$78)</x:f>
        <x:v>100000</x:v>
      </x:c>
      <x:c r="R50" s="379" t="n">
        <x:f>R46*(Assumptions!$B$86-Assumptions!$B$76*Assumptions!$B$78)</x:f>
        <x:v>0</x:v>
      </x:c>
      <x:c r="S50" s="379" t="n">
        <x:f>S46*(Assumptions!$B$86-Assumptions!$B$76*Assumptions!$B$78)</x:f>
        <x:v>0</x:v>
      </x:c>
      <x:c r="T50" s="379" t="n">
        <x:f>T46*(Assumptions!$B$86-Assumptions!$B$76*Assumptions!$B$78)</x:f>
        <x:v>100000</x:v>
      </x:c>
      <x:c r="U50" s="379" t="n">
        <x:f>U46*(Assumptions!$B$86-Assumptions!$B$76*Assumptions!$B$78)</x:f>
        <x:v>0</x:v>
      </x:c>
      <x:c r="V50" s="379" t="n">
        <x:f>V46*(Assumptions!$B$86-Assumptions!$B$76*Assumptions!$B$78)</x:f>
        <x:v>0</x:v>
      </x:c>
      <x:c r="W50" s="227"/>
      <x:c r="X50" s="227"/>
      <x:c r="Y50" s="227"/>
      <x:c r="Z50" s="227"/>
    </x:row>
    <x:row r="51">
      <x:c r="A51" s="327" t="str">
        <x:v>Club revenue share (40%)</x:v>
      </x:c>
      <x:c r="B51" s="379" t="n">
        <x:f>B47*Assumptions!$B$79</x:f>
        <x:v>0</x:v>
      </x:c>
      <x:c r="C51" s="379" t="n">
        <x:f>C47*Assumptions!$B$79</x:f>
        <x:v>0</x:v>
      </x:c>
      <x:c r="D51" s="379" t="n">
        <x:f>D47*Assumptions!$B$79</x:f>
        <x:v>0</x:v>
      </x:c>
      <x:c r="E51" s="379" t="n">
        <x:f>E47*Assumptions!$B$79</x:f>
        <x:v>0</x:v>
      </x:c>
      <x:c r="F51" s="379" t="n">
        <x:f>F47*Assumptions!$B$79</x:f>
        <x:v>0</x:v>
      </x:c>
      <x:c r="G51" s="379" t="n">
        <x:f>G47*Assumptions!$B$79</x:f>
        <x:v>0</x:v>
      </x:c>
      <x:c r="H51" s="379" t="n">
        <x:f>H47*Assumptions!$B$79</x:f>
        <x:v>80000</x:v>
      </x:c>
      <x:c r="I51" s="379" t="n">
        <x:f>I47*Assumptions!$B$79</x:f>
        <x:v>0</x:v>
      </x:c>
      <x:c r="J51" s="379" t="n">
        <x:f>J47*Assumptions!$B$79</x:f>
        <x:v>0</x:v>
      </x:c>
      <x:c r="K51" s="379" t="n">
        <x:f>K47*Assumptions!$B$79</x:f>
        <x:v>80000</x:v>
      </x:c>
      <x:c r="L51" s="379" t="n">
        <x:f>L47*Assumptions!$B$79</x:f>
        <x:v>0</x:v>
      </x:c>
      <x:c r="M51" s="379" t="n">
        <x:f>M47*Assumptions!$B$79</x:f>
        <x:v>0</x:v>
      </x:c>
      <x:c r="N51" s="379" t="n">
        <x:f>N47*Assumptions!$B$79</x:f>
        <x:v>80000</x:v>
      </x:c>
      <x:c r="O51" s="379" t="n">
        <x:f>O47*Assumptions!$B$79</x:f>
        <x:v>0</x:v>
      </x:c>
      <x:c r="P51" s="379" t="n">
        <x:f>P47*Assumptions!$B$79</x:f>
        <x:v>0</x:v>
      </x:c>
      <x:c r="Q51" s="379" t="n">
        <x:f>Q47*Assumptions!$B$79</x:f>
        <x:v>80000</x:v>
      </x:c>
      <x:c r="R51" s="379" t="n">
        <x:f>R47*Assumptions!$B$79</x:f>
        <x:v>0</x:v>
      </x:c>
      <x:c r="S51" s="379" t="n">
        <x:f>S47*Assumptions!$B$79</x:f>
        <x:v>0</x:v>
      </x:c>
      <x:c r="T51" s="379" t="n">
        <x:f>T47*Assumptions!$B$79</x:f>
        <x:v>80000</x:v>
      </x:c>
      <x:c r="U51" s="379" t="n">
        <x:f>U47*Assumptions!$B$79</x:f>
        <x:v>0</x:v>
      </x:c>
      <x:c r="V51" s="379" t="n">
        <x:f>V47*Assumptions!$B$79</x:f>
        <x:v>0</x:v>
      </x:c>
      <x:c r="W51" s="227"/>
      <x:c r="X51" s="227"/>
      <x:c r="Y51" s="227"/>
      <x:c r="Z51" s="227"/>
    </x:row>
    <x:row r="52">
      <x:c r="A52" s="327" t="str">
        <x:v>Club manufacturing COGS</x:v>
      </x:c>
      <x:c r="B52" s="379" t="n">
        <x:f>B46*Assumptions!$B$76*Assumptions!$B$81</x:f>
        <x:v>0</x:v>
      </x:c>
      <x:c r="C52" s="379" t="n">
        <x:f>C46*Assumptions!$B$76*Assumptions!$B$81</x:f>
        <x:v>0</x:v>
      </x:c>
      <x:c r="D52" s="379" t="n">
        <x:f>D46*Assumptions!$B$76*Assumptions!$B$81</x:f>
        <x:v>0</x:v>
      </x:c>
      <x:c r="E52" s="379" t="n">
        <x:f>E46*Assumptions!$B$76*Assumptions!$B$81</x:f>
        <x:v>0</x:v>
      </x:c>
      <x:c r="F52" s="379" t="n">
        <x:f>F46*Assumptions!$B$76*Assumptions!$B$81</x:f>
        <x:v>0</x:v>
      </x:c>
      <x:c r="G52" s="379" t="n">
        <x:f>G46*Assumptions!$B$76*Assumptions!$B$81</x:f>
        <x:v>0</x:v>
      </x:c>
      <x:c r="H52" s="379" t="n">
        <x:f>H46*Assumptions!$B$76*Assumptions!$B$81</x:f>
        <x:v>25000</x:v>
      </x:c>
      <x:c r="I52" s="379" t="n">
        <x:f>I46*Assumptions!$B$76*Assumptions!$B$81</x:f>
        <x:v>0</x:v>
      </x:c>
      <x:c r="J52" s="379" t="n">
        <x:f>J46*Assumptions!$B$76*Assumptions!$B$81</x:f>
        <x:v>0</x:v>
      </x:c>
      <x:c r="K52" s="379" t="n">
        <x:f>K46*Assumptions!$B$76*Assumptions!$B$81</x:f>
        <x:v>25000</x:v>
      </x:c>
      <x:c r="L52" s="379" t="n">
        <x:f>L46*Assumptions!$B$76*Assumptions!$B$81</x:f>
        <x:v>0</x:v>
      </x:c>
      <x:c r="M52" s="379" t="n">
        <x:f>M46*Assumptions!$B$76*Assumptions!$B$81</x:f>
        <x:v>0</x:v>
      </x:c>
      <x:c r="N52" s="379" t="n">
        <x:f>N46*Assumptions!$B$76*Assumptions!$B$81</x:f>
        <x:v>25000</x:v>
      </x:c>
      <x:c r="O52" s="379" t="n">
        <x:f>O46*Assumptions!$B$76*Assumptions!$B$81</x:f>
        <x:v>0</x:v>
      </x:c>
      <x:c r="P52" s="379" t="n">
        <x:f>P46*Assumptions!$B$76*Assumptions!$B$81</x:f>
        <x:v>0</x:v>
      </x:c>
      <x:c r="Q52" s="379" t="n">
        <x:f>Q46*Assumptions!$B$76*Assumptions!$B$81</x:f>
        <x:v>25000</x:v>
      </x:c>
      <x:c r="R52" s="379" t="n">
        <x:f>R46*Assumptions!$B$76*Assumptions!$B$81</x:f>
        <x:v>0</x:v>
      </x:c>
      <x:c r="S52" s="379" t="n">
        <x:f>S46*Assumptions!$B$76*Assumptions!$B$81</x:f>
        <x:v>0</x:v>
      </x:c>
      <x:c r="T52" s="379" t="n">
        <x:f>T46*Assumptions!$B$76*Assumptions!$B$81</x:f>
        <x:v>25000</x:v>
      </x:c>
      <x:c r="U52" s="379" t="n">
        <x:f>U46*Assumptions!$B$76*Assumptions!$B$81</x:f>
        <x:v>0</x:v>
      </x:c>
      <x:c r="V52" s="379" t="n">
        <x:f>V46*Assumptions!$B$76*Assumptions!$B$81</x:f>
        <x:v>0</x:v>
      </x:c>
      <x:c r="W52" s="227"/>
      <x:c r="X52" s="227"/>
      <x:c r="Y52" s="227"/>
      <x:c r="Z52" s="227"/>
    </x:row>
    <x:row r="53">
      <x:c r="A53" s="327" t="str">
        <x:v>Club logistics expense</x:v>
      </x:c>
      <x:c r="B53" s="379" t="n">
        <x:f>B47*Assumptions!$B$82</x:f>
        <x:v>0</x:v>
      </x:c>
      <x:c r="C53" s="379" t="n">
        <x:f>C47*Assumptions!$B$82</x:f>
        <x:v>0</x:v>
      </x:c>
      <x:c r="D53" s="379" t="n">
        <x:f>D47*Assumptions!$B$82</x:f>
        <x:v>0</x:v>
      </x:c>
      <x:c r="E53" s="379" t="n">
        <x:f>E47*Assumptions!$B$82</x:f>
        <x:v>0</x:v>
      </x:c>
      <x:c r="F53" s="379" t="n">
        <x:f>F47*Assumptions!$B$82</x:f>
        <x:v>0</x:v>
      </x:c>
      <x:c r="G53" s="379" t="n">
        <x:f>G47*Assumptions!$B$82</x:f>
        <x:v>0</x:v>
      </x:c>
      <x:c r="H53" s="379" t="n">
        <x:f>H47*Assumptions!$B$82</x:f>
        <x:v>14000.000000000002</x:v>
      </x:c>
      <x:c r="I53" s="379" t="n">
        <x:f>I47*Assumptions!$B$82</x:f>
        <x:v>0</x:v>
      </x:c>
      <x:c r="J53" s="379" t="n">
        <x:f>J47*Assumptions!$B$82</x:f>
        <x:v>0</x:v>
      </x:c>
      <x:c r="K53" s="379" t="n">
        <x:f>K47*Assumptions!$B$82</x:f>
        <x:v>14000.000000000002</x:v>
      </x:c>
      <x:c r="L53" s="379" t="n">
        <x:f>L47*Assumptions!$B$82</x:f>
        <x:v>0</x:v>
      </x:c>
      <x:c r="M53" s="379" t="n">
        <x:f>M47*Assumptions!$B$82</x:f>
        <x:v>0</x:v>
      </x:c>
      <x:c r="N53" s="379" t="n">
        <x:f>N47*Assumptions!$B$82</x:f>
        <x:v>14000.000000000002</x:v>
      </x:c>
      <x:c r="O53" s="379" t="n">
        <x:f>O47*Assumptions!$B$82</x:f>
        <x:v>0</x:v>
      </x:c>
      <x:c r="P53" s="379" t="n">
        <x:f>P47*Assumptions!$B$82</x:f>
        <x:v>0</x:v>
      </x:c>
      <x:c r="Q53" s="379" t="n">
        <x:f>Q47*Assumptions!$B$82</x:f>
        <x:v>14000.000000000002</x:v>
      </x:c>
      <x:c r="R53" s="379" t="n">
        <x:f>R47*Assumptions!$B$82</x:f>
        <x:v>0</x:v>
      </x:c>
      <x:c r="S53" s="379" t="n">
        <x:f>S47*Assumptions!$B$82</x:f>
        <x:v>0</x:v>
      </x:c>
      <x:c r="T53" s="379" t="n">
        <x:f>T47*Assumptions!$B$82</x:f>
        <x:v>14000.000000000002</x:v>
      </x:c>
      <x:c r="U53" s="379" t="n">
        <x:f>U47*Assumptions!$B$82</x:f>
        <x:v>0</x:v>
      </x:c>
      <x:c r="V53" s="379" t="n">
        <x:f>V47*Assumptions!$B$82</x:f>
        <x:v>0</x:v>
      </x:c>
      <x:c r="W53" s="227"/>
      <x:c r="X53" s="227"/>
      <x:c r="Y53" s="227"/>
      <x:c r="Z53" s="227"/>
    </x:row>
    <x:row r="54">
      <x:c r="A54" s="327" t="str">
        <x:v>Club payment processing</x:v>
      </x:c>
      <x:c r="B54" s="379" t="n">
        <x:f>B47*Assumptions!$B$83</x:f>
        <x:v>0</x:v>
      </x:c>
      <x:c r="C54" s="379" t="n">
        <x:f>C47*Assumptions!$B$83</x:f>
        <x:v>0</x:v>
      </x:c>
      <x:c r="D54" s="379" t="n">
        <x:f>D47*Assumptions!$B$83</x:f>
        <x:v>0</x:v>
      </x:c>
      <x:c r="E54" s="379" t="n">
        <x:f>E47*Assumptions!$B$83</x:f>
        <x:v>0</x:v>
      </x:c>
      <x:c r="F54" s="379" t="n">
        <x:f>F47*Assumptions!$B$83</x:f>
        <x:v>0</x:v>
      </x:c>
      <x:c r="G54" s="379" t="n">
        <x:f>G47*Assumptions!$B$83</x:f>
        <x:v>0</x:v>
      </x:c>
      <x:c r="H54" s="379" t="n">
        <x:f>H47*Assumptions!$B$83</x:f>
        <x:v>3599.9999999999995</x:v>
      </x:c>
      <x:c r="I54" s="379" t="n">
        <x:f>I47*Assumptions!$B$83</x:f>
        <x:v>0</x:v>
      </x:c>
      <x:c r="J54" s="379" t="n">
        <x:f>J47*Assumptions!$B$83</x:f>
        <x:v>0</x:v>
      </x:c>
      <x:c r="K54" s="379" t="n">
        <x:f>K47*Assumptions!$B$83</x:f>
        <x:v>3599.9999999999995</x:v>
      </x:c>
      <x:c r="L54" s="379" t="n">
        <x:f>L47*Assumptions!$B$83</x:f>
        <x:v>0</x:v>
      </x:c>
      <x:c r="M54" s="379" t="n">
        <x:f>M47*Assumptions!$B$83</x:f>
        <x:v>0</x:v>
      </x:c>
      <x:c r="N54" s="379" t="n">
        <x:f>N47*Assumptions!$B$83</x:f>
        <x:v>3599.9999999999995</x:v>
      </x:c>
      <x:c r="O54" s="379" t="n">
        <x:f>O47*Assumptions!$B$83</x:f>
        <x:v>0</x:v>
      </x:c>
      <x:c r="P54" s="379" t="n">
        <x:f>P47*Assumptions!$B$83</x:f>
        <x:v>0</x:v>
      </x:c>
      <x:c r="Q54" s="379" t="n">
        <x:f>Q47*Assumptions!$B$83</x:f>
        <x:v>3599.9999999999995</x:v>
      </x:c>
      <x:c r="R54" s="379" t="n">
        <x:f>R47*Assumptions!$B$83</x:f>
        <x:v>0</x:v>
      </x:c>
      <x:c r="S54" s="379" t="n">
        <x:f>S47*Assumptions!$B$83</x:f>
        <x:v>0</x:v>
      </x:c>
      <x:c r="T54" s="379" t="n">
        <x:f>T47*Assumptions!$B$83</x:f>
        <x:v>3599.9999999999995</x:v>
      </x:c>
      <x:c r="U54" s="379" t="n">
        <x:f>U47*Assumptions!$B$83</x:f>
        <x:v>0</x:v>
      </x:c>
      <x:c r="V54" s="379" t="n">
        <x:f>V47*Assumptions!$B$83</x:f>
        <x:v>0</x:v>
      </x:c>
      <x:c r="W54" s="227"/>
      <x:c r="X54" s="227"/>
      <x:c r="Y54" s="227"/>
      <x:c r="Z54" s="227"/>
    </x:row>
    <x:row r="55">
      <x:c r="A55" s="337" t="str">
        <x:v>Club contribution</x:v>
      </x:c>
      <x:c r="B55" s="387" t="n">
        <x:f>B47-SUM(B51:B54)</x:f>
        <x:v>0</x:v>
      </x:c>
      <x:c r="C55" s="387" t="n">
        <x:f>C47-SUM(C51:C54)</x:f>
        <x:v>0</x:v>
      </x:c>
      <x:c r="D55" s="387" t="n">
        <x:f>D47-SUM(D51:D54)</x:f>
        <x:v>0</x:v>
      </x:c>
      <x:c r="E55" s="387" t="n">
        <x:f>E47-SUM(E51:E54)</x:f>
        <x:v>0</x:v>
      </x:c>
      <x:c r="F55" s="387" t="n">
        <x:f>F47-SUM(F51:F54)</x:f>
        <x:v>0</x:v>
      </x:c>
      <x:c r="G55" s="387" t="n">
        <x:f>G47-SUM(G51:G54)</x:f>
        <x:v>0</x:v>
      </x:c>
      <x:c r="H55" s="387" t="n">
        <x:f>H47-SUM(H51:H54)</x:f>
        <x:v>77400</x:v>
      </x:c>
      <x:c r="I55" s="387" t="n">
        <x:f>I47-SUM(I51:I54)</x:f>
        <x:v>0</x:v>
      </x:c>
      <x:c r="J55" s="387" t="n">
        <x:f>J47-SUM(J51:J54)</x:f>
        <x:v>0</x:v>
      </x:c>
      <x:c r="K55" s="387" t="n">
        <x:f>K47-SUM(K51:K54)</x:f>
        <x:v>77400</x:v>
      </x:c>
      <x:c r="L55" s="387" t="n">
        <x:f>L47-SUM(L51:L54)</x:f>
        <x:v>0</x:v>
      </x:c>
      <x:c r="M55" s="387" t="n">
        <x:f>M47-SUM(M51:M54)</x:f>
        <x:v>0</x:v>
      </x:c>
      <x:c r="N55" s="387" t="n">
        <x:f>N47-SUM(N51:N54)</x:f>
        <x:v>77400</x:v>
      </x:c>
      <x:c r="O55" s="387" t="n">
        <x:f>O47-SUM(O51:O54)</x:f>
        <x:v>0</x:v>
      </x:c>
      <x:c r="P55" s="387" t="n">
        <x:f>P47-SUM(P51:P54)</x:f>
        <x:v>0</x:v>
      </x:c>
      <x:c r="Q55" s="387" t="n">
        <x:f>Q47-SUM(Q51:Q54)</x:f>
        <x:v>77400</x:v>
      </x:c>
      <x:c r="R55" s="387" t="n">
        <x:f>R47-SUM(R51:R54)</x:f>
        <x:v>0</x:v>
      </x:c>
      <x:c r="S55" s="387" t="n">
        <x:f>S47-SUM(S51:S54)</x:f>
        <x:v>0</x:v>
      </x:c>
      <x:c r="T55" s="387" t="n">
        <x:f>T47-SUM(T51:T54)</x:f>
        <x:v>77400</x:v>
      </x:c>
      <x:c r="U55" s="387" t="n">
        <x:f>U47-SUM(U51:U54)</x:f>
        <x:v>0</x:v>
      </x:c>
      <x:c r="V55" s="387" t="n">
        <x:f>V47-SUM(V51:V54)</x:f>
        <x:v>0</x:v>
      </x:c>
      <x:c r="W55" s="227"/>
      <x:c r="X55" s="227"/>
      <x:c r="Y55" s="227"/>
      <x:c r="Z55" s="227"/>
    </x:row>
    <x:row r="56">
      <x:c r="A56" s="327" t="str">
        <x:v>Production deposit cash</x:v>
      </x:c>
      <x:c r="B56" s="379" t="n">
        <x:f>B45*Assumptions!$B$76*Assumptions!$B$81*Assumptions!$B$84</x:f>
        <x:v>0</x:v>
      </x:c>
      <x:c r="C56" s="379" t="n">
        <x:f>C45*Assumptions!$B$76*Assumptions!$B$81*Assumptions!$B$84</x:f>
        <x:v>0</x:v>
      </x:c>
      <x:c r="D56" s="379" t="n">
        <x:f>D45*Assumptions!$B$76*Assumptions!$B$81*Assumptions!$B$84</x:f>
        <x:v>0</x:v>
      </x:c>
      <x:c r="E56" s="379" t="n">
        <x:f>E45*Assumptions!$B$76*Assumptions!$B$81*Assumptions!$B$84</x:f>
        <x:v>0</x:v>
      </x:c>
      <x:c r="F56" s="379" t="n">
        <x:f>F45*Assumptions!$B$76*Assumptions!$B$81*Assumptions!$B$84</x:f>
        <x:v>6250</x:v>
      </x:c>
      <x:c r="G56" s="379" t="n">
        <x:f>G45*Assumptions!$B$76*Assumptions!$B$81*Assumptions!$B$84</x:f>
        <x:v>0</x:v>
      </x:c>
      <x:c r="H56" s="379" t="n">
        <x:f>H45*Assumptions!$B$76*Assumptions!$B$81*Assumptions!$B$84</x:f>
        <x:v>0</x:v>
      </x:c>
      <x:c r="I56" s="379" t="n">
        <x:f>I45*Assumptions!$B$76*Assumptions!$B$81*Assumptions!$B$84</x:f>
        <x:v>6250</x:v>
      </x:c>
      <x:c r="J56" s="379" t="n">
        <x:f>J45*Assumptions!$B$76*Assumptions!$B$81*Assumptions!$B$84</x:f>
        <x:v>0</x:v>
      </x:c>
      <x:c r="K56" s="379" t="n">
        <x:f>K45*Assumptions!$B$76*Assumptions!$B$81*Assumptions!$B$84</x:f>
        <x:v>0</x:v>
      </x:c>
      <x:c r="L56" s="379" t="n">
        <x:f>L45*Assumptions!$B$76*Assumptions!$B$81*Assumptions!$B$84</x:f>
        <x:v>6250</x:v>
      </x:c>
      <x:c r="M56" s="379" t="n">
        <x:f>M45*Assumptions!$B$76*Assumptions!$B$81*Assumptions!$B$84</x:f>
        <x:v>0</x:v>
      </x:c>
      <x:c r="N56" s="379" t="n">
        <x:f>N45*Assumptions!$B$76*Assumptions!$B$81*Assumptions!$B$84</x:f>
        <x:v>0</x:v>
      </x:c>
      <x:c r="O56" s="379" t="n">
        <x:f>O45*Assumptions!$B$76*Assumptions!$B$81*Assumptions!$B$84</x:f>
        <x:v>6250</x:v>
      </x:c>
      <x:c r="P56" s="379" t="n">
        <x:f>P45*Assumptions!$B$76*Assumptions!$B$81*Assumptions!$B$84</x:f>
        <x:v>0</x:v>
      </x:c>
      <x:c r="Q56" s="379" t="n">
        <x:f>Q45*Assumptions!$B$76*Assumptions!$B$81*Assumptions!$B$84</x:f>
        <x:v>0</x:v>
      </x:c>
      <x:c r="R56" s="379" t="n">
        <x:f>R45*Assumptions!$B$76*Assumptions!$B$81*Assumptions!$B$84</x:f>
        <x:v>6250</x:v>
      </x:c>
      <x:c r="S56" s="379" t="n">
        <x:f>S45*Assumptions!$B$76*Assumptions!$B$81*Assumptions!$B$84</x:f>
        <x:v>0</x:v>
      </x:c>
      <x:c r="T56" s="379" t="n">
        <x:f>T45*Assumptions!$B$76*Assumptions!$B$81*Assumptions!$B$84</x:f>
        <x:v>0</x:v>
      </x:c>
      <x:c r="U56" s="379" t="n">
        <x:f>U45*Assumptions!$B$76*Assumptions!$B$81*Assumptions!$B$84</x:f>
        <x:v>6250</x:v>
      </x:c>
      <x:c r="V56" s="379" t="n">
        <x:f>V45*Assumptions!$B$76*Assumptions!$B$81*Assumptions!$B$84</x:f>
        <x:v>0</x:v>
      </x:c>
      <x:c r="W56" s="227"/>
      <x:c r="X56" s="227"/>
      <x:c r="Y56" s="227"/>
      <x:c r="Z56" s="227"/>
    </x:row>
    <x:row r="57">
      <x:c r="A57" s="327" t="str">
        <x:v>Production balance cash</x:v>
      </x:c>
      <x:c r="B57" s="379" t="n">
        <x:f>0</x:f>
        <x:v>0</x:v>
      </x:c>
      <x:c r="C57" s="379" t="n">
        <x:f>B45*Assumptions!$B$76*Assumptions!$B$81*Assumptions!$B$85</x:f>
        <x:v>0</x:v>
      </x:c>
      <x:c r="D57" s="379" t="n">
        <x:f>C45*Assumptions!$B$76*Assumptions!$B$81*Assumptions!$B$85</x:f>
        <x:v>0</x:v>
      </x:c>
      <x:c r="E57" s="379" t="n">
        <x:f>D45*Assumptions!$B$76*Assumptions!$B$81*Assumptions!$B$85</x:f>
        <x:v>0</x:v>
      </x:c>
      <x:c r="F57" s="379" t="n">
        <x:f>E45*Assumptions!$B$76*Assumptions!$B$81*Assumptions!$B$85</x:f>
        <x:v>0</x:v>
      </x:c>
      <x:c r="G57" s="379" t="n">
        <x:f>F45*Assumptions!$B$76*Assumptions!$B$81*Assumptions!$B$85</x:f>
        <x:v>18750</x:v>
      </x:c>
      <x:c r="H57" s="379" t="n">
        <x:f>G45*Assumptions!$B$76*Assumptions!$B$81*Assumptions!$B$85</x:f>
        <x:v>0</x:v>
      </x:c>
      <x:c r="I57" s="379" t="n">
        <x:f>H45*Assumptions!$B$76*Assumptions!$B$81*Assumptions!$B$85</x:f>
        <x:v>0</x:v>
      </x:c>
      <x:c r="J57" s="379" t="n">
        <x:f>I45*Assumptions!$B$76*Assumptions!$B$81*Assumptions!$B$85</x:f>
        <x:v>18750</x:v>
      </x:c>
      <x:c r="K57" s="379" t="n">
        <x:f>J45*Assumptions!$B$76*Assumptions!$B$81*Assumptions!$B$85</x:f>
        <x:v>0</x:v>
      </x:c>
      <x:c r="L57" s="379" t="n">
        <x:f>K45*Assumptions!$B$76*Assumptions!$B$81*Assumptions!$B$85</x:f>
        <x:v>0</x:v>
      </x:c>
      <x:c r="M57" s="379" t="n">
        <x:f>L45*Assumptions!$B$76*Assumptions!$B$81*Assumptions!$B$85</x:f>
        <x:v>18750</x:v>
      </x:c>
      <x:c r="N57" s="379" t="n">
        <x:f>M45*Assumptions!$B$76*Assumptions!$B$81*Assumptions!$B$85</x:f>
        <x:v>0</x:v>
      </x:c>
      <x:c r="O57" s="379" t="n">
        <x:f>N45*Assumptions!$B$76*Assumptions!$B$81*Assumptions!$B$85</x:f>
        <x:v>0</x:v>
      </x:c>
      <x:c r="P57" s="379" t="n">
        <x:f>O45*Assumptions!$B$76*Assumptions!$B$81*Assumptions!$B$85</x:f>
        <x:v>18750</x:v>
      </x:c>
      <x:c r="Q57" s="379" t="n">
        <x:f>P45*Assumptions!$B$76*Assumptions!$B$81*Assumptions!$B$85</x:f>
        <x:v>0</x:v>
      </x:c>
      <x:c r="R57" s="379" t="n">
        <x:f>Q45*Assumptions!$B$76*Assumptions!$B$81*Assumptions!$B$85</x:f>
        <x:v>0</x:v>
      </x:c>
      <x:c r="S57" s="379" t="n">
        <x:f>R45*Assumptions!$B$76*Assumptions!$B$81*Assumptions!$B$85</x:f>
        <x:v>18750</x:v>
      </x:c>
      <x:c r="T57" s="379" t="n">
        <x:f>S45*Assumptions!$B$76*Assumptions!$B$81*Assumptions!$B$85</x:f>
        <x:v>0</x:v>
      </x:c>
      <x:c r="U57" s="379" t="n">
        <x:f>T45*Assumptions!$B$76*Assumptions!$B$81*Assumptions!$B$85</x:f>
        <x:v>0</x:v>
      </x:c>
      <x:c r="V57" s="379" t="n">
        <x:f>U45*Assumptions!$B$76*Assumptions!$B$81*Assumptions!$B$85</x:f>
        <x:v>18750</x:v>
      </x:c>
      <x:c r="W57" s="227"/>
      <x:c r="X57" s="227"/>
      <x:c r="Y57" s="227"/>
      <x:c r="Z57" s="227"/>
    </x:row>
    <x:row r="58">
      <x:c r="A58" s="327" t="str">
        <x:v>Club share cash paid</x:v>
      </x:c>
      <x:c r="B58" s="379" t="n">
        <x:f>B46*Assumptions!$B$86*Assumptions!$B$79</x:f>
        <x:v>0</x:v>
      </x:c>
      <x:c r="C58" s="379" t="n">
        <x:f>C46*Assumptions!$B$86*Assumptions!$B$79</x:f>
        <x:v>0</x:v>
      </x:c>
      <x:c r="D58" s="379" t="n">
        <x:f>D46*Assumptions!$B$86*Assumptions!$B$79</x:f>
        <x:v>0</x:v>
      </x:c>
      <x:c r="E58" s="379" t="n">
        <x:f>E46*Assumptions!$B$86*Assumptions!$B$79</x:f>
        <x:v>0</x:v>
      </x:c>
      <x:c r="F58" s="379" t="n">
        <x:f>F46*Assumptions!$B$86*Assumptions!$B$79</x:f>
        <x:v>0</x:v>
      </x:c>
      <x:c r="G58" s="379" t="n">
        <x:f>G46*Assumptions!$B$86*Assumptions!$B$79</x:f>
        <x:v>0</x:v>
      </x:c>
      <x:c r="H58" s="379" t="n">
        <x:f>H46*Assumptions!$B$86*Assumptions!$B$79</x:f>
        <x:v>80000</x:v>
      </x:c>
      <x:c r="I58" s="379" t="n">
        <x:f>I46*Assumptions!$B$86*Assumptions!$B$79</x:f>
        <x:v>0</x:v>
      </x:c>
      <x:c r="J58" s="379" t="n">
        <x:f>J46*Assumptions!$B$86*Assumptions!$B$79</x:f>
        <x:v>0</x:v>
      </x:c>
      <x:c r="K58" s="379" t="n">
        <x:f>K46*Assumptions!$B$86*Assumptions!$B$79</x:f>
        <x:v>80000</x:v>
      </x:c>
      <x:c r="L58" s="379" t="n">
        <x:f>L46*Assumptions!$B$86*Assumptions!$B$79</x:f>
        <x:v>0</x:v>
      </x:c>
      <x:c r="M58" s="379" t="n">
        <x:f>M46*Assumptions!$B$86*Assumptions!$B$79</x:f>
        <x:v>0</x:v>
      </x:c>
      <x:c r="N58" s="379" t="n">
        <x:f>N46*Assumptions!$B$86*Assumptions!$B$79</x:f>
        <x:v>80000</x:v>
      </x:c>
      <x:c r="O58" s="379" t="n">
        <x:f>O46*Assumptions!$B$86*Assumptions!$B$79</x:f>
        <x:v>0</x:v>
      </x:c>
      <x:c r="P58" s="379" t="n">
        <x:f>P46*Assumptions!$B$86*Assumptions!$B$79</x:f>
        <x:v>0</x:v>
      </x:c>
      <x:c r="Q58" s="379" t="n">
        <x:f>Q46*Assumptions!$B$86*Assumptions!$B$79</x:f>
        <x:v>80000</x:v>
      </x:c>
      <x:c r="R58" s="379" t="n">
        <x:f>R46*Assumptions!$B$86*Assumptions!$B$79</x:f>
        <x:v>0</x:v>
      </x:c>
      <x:c r="S58" s="379" t="n">
        <x:f>S46*Assumptions!$B$86*Assumptions!$B$79</x:f>
        <x:v>0</x:v>
      </x:c>
      <x:c r="T58" s="379" t="n">
        <x:f>T46*Assumptions!$B$86*Assumptions!$B$79</x:f>
        <x:v>80000</x:v>
      </x:c>
      <x:c r="U58" s="379" t="n">
        <x:f>U46*Assumptions!$B$86*Assumptions!$B$79</x:f>
        <x:v>0</x:v>
      </x:c>
      <x:c r="V58" s="379" t="n">
        <x:f>V46*Assumptions!$B$86*Assumptions!$B$79</x:f>
        <x:v>0</x:v>
      </x:c>
      <x:c r="W58" s="227"/>
      <x:c r="X58" s="227"/>
      <x:c r="Y58" s="227"/>
      <x:c r="Z58" s="227"/>
    </x:row>
    <x:row r="59">
      <x:c r="A59" s="327" t="str">
        <x:v>Club logistics cash paid (60d)</x:v>
      </x:c>
      <x:c r="B59" s="379" t="n">
        <x:f>0</x:f>
        <x:v>0</x:v>
      </x:c>
      <x:c r="C59" s="379" t="n">
        <x:f>0</x:f>
        <x:v>0</x:v>
      </x:c>
      <x:c r="D59" s="379" t="n">
        <x:f>B46*Assumptions!$B$86*Assumptions!$B$82</x:f>
        <x:v>0</x:v>
      </x:c>
      <x:c r="E59" s="379" t="n">
        <x:f>C46*Assumptions!$B$86*Assumptions!$B$82</x:f>
        <x:v>0</x:v>
      </x:c>
      <x:c r="F59" s="379" t="n">
        <x:f>D46*Assumptions!$B$86*Assumptions!$B$82</x:f>
        <x:v>0</x:v>
      </x:c>
      <x:c r="G59" s="379" t="n">
        <x:f>E46*Assumptions!$B$86*Assumptions!$B$82</x:f>
        <x:v>0</x:v>
      </x:c>
      <x:c r="H59" s="379" t="n">
        <x:f>F46*Assumptions!$B$86*Assumptions!$B$82</x:f>
        <x:v>0</x:v>
      </x:c>
      <x:c r="I59" s="379" t="n">
        <x:f>G46*Assumptions!$B$86*Assumptions!$B$82</x:f>
        <x:v>0</x:v>
      </x:c>
      <x:c r="J59" s="379" t="n">
        <x:f>H46*Assumptions!$B$86*Assumptions!$B$82</x:f>
        <x:v>14000.000000000002</x:v>
      </x:c>
      <x:c r="K59" s="379" t="n">
        <x:f>I46*Assumptions!$B$86*Assumptions!$B$82</x:f>
        <x:v>0</x:v>
      </x:c>
      <x:c r="L59" s="379" t="n">
        <x:f>J46*Assumptions!$B$86*Assumptions!$B$82</x:f>
        <x:v>0</x:v>
      </x:c>
      <x:c r="M59" s="379" t="n">
        <x:f>K46*Assumptions!$B$86*Assumptions!$B$82</x:f>
        <x:v>14000.000000000002</x:v>
      </x:c>
      <x:c r="N59" s="379" t="n">
        <x:f>L46*Assumptions!$B$86*Assumptions!$B$82</x:f>
        <x:v>0</x:v>
      </x:c>
      <x:c r="O59" s="379" t="n">
        <x:f>M46*Assumptions!$B$86*Assumptions!$B$82</x:f>
        <x:v>0</x:v>
      </x:c>
      <x:c r="P59" s="379" t="n">
        <x:f>N46*Assumptions!$B$86*Assumptions!$B$82</x:f>
        <x:v>14000.000000000002</x:v>
      </x:c>
      <x:c r="Q59" s="379" t="n">
        <x:f>O46*Assumptions!$B$86*Assumptions!$B$82</x:f>
        <x:v>0</x:v>
      </x:c>
      <x:c r="R59" s="379" t="n">
        <x:f>P46*Assumptions!$B$86*Assumptions!$B$82</x:f>
        <x:v>0</x:v>
      </x:c>
      <x:c r="S59" s="379" t="n">
        <x:f>Q46*Assumptions!$B$86*Assumptions!$B$82</x:f>
        <x:v>14000.000000000002</x:v>
      </x:c>
      <x:c r="T59" s="379" t="n">
        <x:f>R46*Assumptions!$B$86*Assumptions!$B$82</x:f>
        <x:v>0</x:v>
      </x:c>
      <x:c r="U59" s="379" t="n">
        <x:f>S46*Assumptions!$B$86*Assumptions!$B$82</x:f>
        <x:v>0</x:v>
      </x:c>
      <x:c r="V59" s="379" t="n">
        <x:f>T46*Assumptions!$B$86*Assumptions!$B$82</x:f>
        <x:v>14000.000000000002</x:v>
      </x:c>
      <x:c r="W59" s="227"/>
      <x:c r="X59" s="227"/>
      <x:c r="Y59" s="227"/>
      <x:c r="Z59" s="227"/>
    </x:row>
    <x:row r="60">
      <x:c r="A60" s="327" t="str">
        <x:v>Club processing cash</x:v>
      </x:c>
      <x:c r="B60" s="379" t="n">
        <x:f>(B45*Assumptions!$B$76*Assumptions!$B$78+B50)*Assumptions!$B$83</x:f>
        <x:v>0</x:v>
      </x:c>
      <x:c r="C60" s="379" t="n">
        <x:f>(C45*Assumptions!$B$76*Assumptions!$B$78+C50)*Assumptions!$B$83</x:f>
        <x:v>0</x:v>
      </x:c>
      <x:c r="D60" s="379" t="n">
        <x:f>(D45*Assumptions!$B$76*Assumptions!$B$78+D50)*Assumptions!$B$83</x:f>
        <x:v>0</x:v>
      </x:c>
      <x:c r="E60" s="379" t="n">
        <x:f>(E45*Assumptions!$B$76*Assumptions!$B$78+E50)*Assumptions!$B$83</x:f>
        <x:v>0</x:v>
      </x:c>
      <x:c r="F60" s="379" t="n">
        <x:f>(F45*Assumptions!$B$76*Assumptions!$B$78+F50)*Assumptions!$B$83</x:f>
        <x:v>1799.9999999999998</x:v>
      </x:c>
      <x:c r="G60" s="379" t="n">
        <x:f>(G45*Assumptions!$B$76*Assumptions!$B$78+G50)*Assumptions!$B$83</x:f>
        <x:v>0</x:v>
      </x:c>
      <x:c r="H60" s="379" t="n">
        <x:f>(H45*Assumptions!$B$76*Assumptions!$B$78+H50)*Assumptions!$B$83</x:f>
        <x:v>1799.9999999999998</x:v>
      </x:c>
      <x:c r="I60" s="379" t="n">
        <x:f>(I45*Assumptions!$B$76*Assumptions!$B$78+I50)*Assumptions!$B$83</x:f>
        <x:v>1799.9999999999998</x:v>
      </x:c>
      <x:c r="J60" s="379" t="n">
        <x:f>(J45*Assumptions!$B$76*Assumptions!$B$78+J50)*Assumptions!$B$83</x:f>
        <x:v>0</x:v>
      </x:c>
      <x:c r="K60" s="379" t="n">
        <x:f>(K45*Assumptions!$B$76*Assumptions!$B$78+K50)*Assumptions!$B$83</x:f>
        <x:v>1799.9999999999998</x:v>
      </x:c>
      <x:c r="L60" s="379" t="n">
        <x:f>(L45*Assumptions!$B$76*Assumptions!$B$78+L50)*Assumptions!$B$83</x:f>
        <x:v>1799.9999999999998</x:v>
      </x:c>
      <x:c r="M60" s="379" t="n">
        <x:f>(M45*Assumptions!$B$76*Assumptions!$B$78+M50)*Assumptions!$B$83</x:f>
        <x:v>0</x:v>
      </x:c>
      <x:c r="N60" s="379" t="n">
        <x:f>(N45*Assumptions!$B$76*Assumptions!$B$78+N50)*Assumptions!$B$83</x:f>
        <x:v>1799.9999999999998</x:v>
      </x:c>
      <x:c r="O60" s="379" t="n">
        <x:f>(O45*Assumptions!$B$76*Assumptions!$B$78+O50)*Assumptions!$B$83</x:f>
        <x:v>1799.9999999999998</x:v>
      </x:c>
      <x:c r="P60" s="379" t="n">
        <x:f>(P45*Assumptions!$B$76*Assumptions!$B$78+P50)*Assumptions!$B$83</x:f>
        <x:v>0</x:v>
      </x:c>
      <x:c r="Q60" s="379" t="n">
        <x:f>(Q45*Assumptions!$B$76*Assumptions!$B$78+Q50)*Assumptions!$B$83</x:f>
        <x:v>1799.9999999999998</x:v>
      </x:c>
      <x:c r="R60" s="379" t="n">
        <x:f>(R45*Assumptions!$B$76*Assumptions!$B$78+R50)*Assumptions!$B$83</x:f>
        <x:v>1799.9999999999998</x:v>
      </x:c>
      <x:c r="S60" s="379" t="n">
        <x:f>(S45*Assumptions!$B$76*Assumptions!$B$78+S50)*Assumptions!$B$83</x:f>
        <x:v>0</x:v>
      </x:c>
      <x:c r="T60" s="379" t="n">
        <x:f>(T45*Assumptions!$B$76*Assumptions!$B$78+T50)*Assumptions!$B$83</x:f>
        <x:v>1799.9999999999998</x:v>
      </x:c>
      <x:c r="U60" s="379" t="n">
        <x:f>(U45*Assumptions!$B$76*Assumptions!$B$78+U50)*Assumptions!$B$83</x:f>
        <x:v>1799.9999999999998</x:v>
      </x:c>
      <x:c r="V60" s="379" t="n">
        <x:f>(V45*Assumptions!$B$76*Assumptions!$B$78+V50)*Assumptions!$B$83</x:f>
        <x:v>0</x:v>
      </x:c>
      <x:c r="W60" s="227"/>
      <x:c r="X60" s="227"/>
      <x:c r="Y60" s="227"/>
      <x:c r="Z60" s="227"/>
    </x:row>
    <x:row r="61">
      <x:c r="A61" s="327"/>
      <x:c r="B61" s="385"/>
      <x:c r="C61" s="385"/>
      <x:c r="D61" s="385"/>
      <x:c r="E61" s="385"/>
      <x:c r="F61" s="385"/>
      <x:c r="G61" s="385"/>
      <x:c r="H61" s="385"/>
      <x:c r="I61" s="385"/>
      <x:c r="J61" s="385"/>
      <x:c r="K61" s="385"/>
      <x:c r="L61" s="385"/>
      <x:c r="M61" s="385"/>
      <x:c r="N61" s="385"/>
      <x:c r="O61" s="385"/>
      <x:c r="P61" s="385"/>
      <x:c r="Q61" s="385"/>
      <x:c r="R61" s="385"/>
      <x:c r="S61" s="385"/>
      <x:c r="T61" s="385"/>
      <x:c r="U61" s="385"/>
      <x:c r="V61" s="385"/>
      <x:c r="W61" s="227"/>
      <x:c r="X61" s="227"/>
      <x:c r="Y61" s="227"/>
      <x:c r="Z61" s="227"/>
    </x:row>
    <x:row r="62" ht="23" customHeight="1">
      <x:c r="A62" s="335" t="str">
        <x:v>P&amp;L AND CASH FLOW</x:v>
      </x:c>
      <x:c r="B62" s="386" t="str">
        <x:v>P&amp;L AND CASH FLOW</x:v>
      </x:c>
      <x:c r="C62" s="386" t="str">
        <x:v>P&amp;L AND CASH FLOW</x:v>
      </x:c>
      <x:c r="D62" s="386" t="str">
        <x:v>P&amp;L AND CASH FLOW</x:v>
      </x:c>
      <x:c r="E62" s="386" t="str">
        <x:v>P&amp;L AND CASH FLOW</x:v>
      </x:c>
      <x:c r="F62" s="386" t="str">
        <x:v>P&amp;L AND CASH FLOW</x:v>
      </x:c>
      <x:c r="G62" s="386" t="str">
        <x:v>P&amp;L AND CASH FLOW</x:v>
      </x:c>
      <x:c r="H62" s="386" t="str">
        <x:v>P&amp;L AND CASH FLOW</x:v>
      </x:c>
      <x:c r="I62" s="386" t="str">
        <x:v>P&amp;L AND CASH FLOW</x:v>
      </x:c>
      <x:c r="J62" s="386" t="str">
        <x:v>P&amp;L AND CASH FLOW</x:v>
      </x:c>
      <x:c r="K62" s="386" t="str">
        <x:v>P&amp;L AND CASH FLOW</x:v>
      </x:c>
      <x:c r="L62" s="386" t="str">
        <x:v>P&amp;L AND CASH FLOW</x:v>
      </x:c>
      <x:c r="M62" s="386" t="str">
        <x:v>P&amp;L AND CASH FLOW</x:v>
      </x:c>
      <x:c r="N62" s="386" t="str">
        <x:v>P&amp;L AND CASH FLOW</x:v>
      </x:c>
      <x:c r="O62" s="386" t="str">
        <x:v>P&amp;L AND CASH FLOW</x:v>
      </x:c>
      <x:c r="P62" s="386" t="str">
        <x:v>P&amp;L AND CASH FLOW</x:v>
      </x:c>
      <x:c r="Q62" s="386" t="str">
        <x:v>P&amp;L AND CASH FLOW</x:v>
      </x:c>
      <x:c r="R62" s="386" t="str">
        <x:v>P&amp;L AND CASH FLOW</x:v>
      </x:c>
      <x:c r="S62" s="386" t="str">
        <x:v>P&amp;L AND CASH FLOW</x:v>
      </x:c>
      <x:c r="T62" s="386" t="str">
        <x:v>P&amp;L AND CASH FLOW</x:v>
      </x:c>
      <x:c r="U62" s="386" t="str">
        <x:v>P&amp;L AND CASH FLOW</x:v>
      </x:c>
      <x:c r="V62" s="386" t="str">
        <x:v>P&amp;L AND CASH FLOW</x:v>
      </x:c>
      <x:c r="W62" s="227"/>
      <x:c r="X62" s="227"/>
      <x:c r="Y62" s="227"/>
      <x:c r="Z62" s="227"/>
    </x:row>
    <x:row r="63">
      <x:c r="A63" s="337" t="str">
        <x:v>Total recognised gross revenue</x:v>
      </x:c>
      <x:c r="B63" s="387" t="n">
        <x:f>B36+B47</x:f>
        <x:v>0</x:v>
      </x:c>
      <x:c r="C63" s="387" t="n">
        <x:f>C36+C47</x:f>
        <x:v>0</x:v>
      </x:c>
      <x:c r="D63" s="387" t="n">
        <x:f>D36+D47</x:f>
        <x:v>7455</x:v>
      </x:c>
      <x:c r="E63" s="387" t="n">
        <x:f>E36+E47</x:f>
        <x:v>10295</x:v>
      </x:c>
      <x:c r="F63" s="387" t="n">
        <x:f>F36+F47</x:f>
        <x:v>14910</x:v>
      </x:c>
      <x:c r="G63" s="387" t="n">
        <x:f>G36+G47</x:f>
        <x:v>14910</x:v>
      </x:c>
      <x:c r="H63" s="387" t="n">
        <x:f>H36+H47</x:f>
        <x:v>214910</x:v>
      </x:c>
      <x:c r="I63" s="387" t="n">
        <x:f>I36+I47</x:f>
        <x:v>188638.125</x:v>
      </x:c>
      <x:c r="J63" s="387" t="n">
        <x:f>J36+J47</x:f>
        <x:v>246547.5</x:v>
      </x:c>
      <x:c r="K63" s="387" t="n">
        <x:f>K36+K47</x:f>
        <x:v>446547.5</x:v>
      </x:c>
      <x:c r="L63" s="387" t="n">
        <x:f>L36+L47</x:f>
        <x:v>246547.5</x:v>
      </x:c>
      <x:c r="M63" s="387" t="n">
        <x:f>M36+M47</x:f>
        <x:v>246547.5</x:v>
      </x:c>
      <x:c r="N63" s="387" t="n">
        <x:f>N36+N47</x:f>
        <x:v>446547.5</x:v>
      </x:c>
      <x:c r="O63" s="387" t="n">
        <x:f>O36+O47</x:f>
        <x:v>246547.5</x:v>
      </x:c>
      <x:c r="P63" s="387" t="n">
        <x:f>P36+P47</x:f>
        <x:v>478185</x:v>
      </x:c>
      <x:c r="Q63" s="387" t="n">
        <x:f>Q36+Q47</x:f>
        <x:v>755397.5</x:v>
      </x:c>
      <x:c r="R63" s="387" t="n">
        <x:f>R36+R47</x:f>
        <x:v>902853.75</x:v>
      </x:c>
      <x:c r="S63" s="387" t="n">
        <x:f>S36+S47</x:f>
        <x:v>1018672.5</x:v>
      </x:c>
      <x:c r="T63" s="387" t="n">
        <x:f>T36+T47</x:f>
        <x:v>1624038.125</x:v>
      </x:c>
      <x:c r="U63" s="387" t="n">
        <x:f>U36+U47</x:f>
        <x:v>1559160</x:v>
      </x:c>
      <x:c r="V63" s="387" t="n">
        <x:f>V36+V47</x:f>
        <x:v>2717347.5</x:v>
      </x:c>
      <x:c r="W63" s="227"/>
      <x:c r="X63" s="227"/>
      <x:c r="Y63" s="227"/>
      <x:c r="Z63" s="227"/>
    </x:row>
    <x:row r="64">
      <x:c r="A64" s="337" t="str">
        <x:v>Net revenue retained</x:v>
      </x:c>
      <x:c r="B64" s="387" t="n">
        <x:f>B36+B48</x:f>
        <x:v>0</x:v>
      </x:c>
      <x:c r="C64" s="387" t="n">
        <x:f>C36+C48</x:f>
        <x:v>0</x:v>
      </x:c>
      <x:c r="D64" s="387" t="n">
        <x:f>D36+D48</x:f>
        <x:v>7455</x:v>
      </x:c>
      <x:c r="E64" s="387" t="n">
        <x:f>E36+E48</x:f>
        <x:v>10295</x:v>
      </x:c>
      <x:c r="F64" s="387" t="n">
        <x:f>F36+F48</x:f>
        <x:v>14910</x:v>
      </x:c>
      <x:c r="G64" s="387" t="n">
        <x:f>G36+G48</x:f>
        <x:v>14910</x:v>
      </x:c>
      <x:c r="H64" s="387" t="n">
        <x:f>H36+H48</x:f>
        <x:v>134910</x:v>
      </x:c>
      <x:c r="I64" s="387" t="n">
        <x:f>I36+I48</x:f>
        <x:v>188638.125</x:v>
      </x:c>
      <x:c r="J64" s="387" t="n">
        <x:f>J36+J48</x:f>
        <x:v>246547.5</x:v>
      </x:c>
      <x:c r="K64" s="387" t="n">
        <x:f>K36+K48</x:f>
        <x:v>366547.5</x:v>
      </x:c>
      <x:c r="L64" s="387" t="n">
        <x:f>L36+L48</x:f>
        <x:v>246547.5</x:v>
      </x:c>
      <x:c r="M64" s="387" t="n">
        <x:f>M36+M48</x:f>
        <x:v>246547.5</x:v>
      </x:c>
      <x:c r="N64" s="387" t="n">
        <x:f>N36+N48</x:f>
        <x:v>366547.5</x:v>
      </x:c>
      <x:c r="O64" s="387" t="n">
        <x:f>O36+O48</x:f>
        <x:v>246547.5</x:v>
      </x:c>
      <x:c r="P64" s="387" t="n">
        <x:f>P36+P48</x:f>
        <x:v>478185</x:v>
      </x:c>
      <x:c r="Q64" s="387" t="n">
        <x:f>Q36+Q48</x:f>
        <x:v>675397.5</x:v>
      </x:c>
      <x:c r="R64" s="387" t="n">
        <x:f>R36+R48</x:f>
        <x:v>902853.75</x:v>
      </x:c>
      <x:c r="S64" s="387" t="n">
        <x:f>S36+S48</x:f>
        <x:v>1018672.5</x:v>
      </x:c>
      <x:c r="T64" s="387" t="n">
        <x:f>T36+T48</x:f>
        <x:v>1544038.125</x:v>
      </x:c>
      <x:c r="U64" s="387" t="n">
        <x:f>U36+U48</x:f>
        <x:v>1559160</x:v>
      </x:c>
      <x:c r="V64" s="387" t="n">
        <x:f>V36+V48</x:f>
        <x:v>2717347.5</x:v>
      </x:c>
      <x:c r="W64" s="227"/>
      <x:c r="X64" s="227"/>
      <x:c r="Y64" s="227"/>
      <x:c r="Z64" s="227"/>
    </x:row>
    <x:row r="65">
      <x:c r="A65" s="327" t="str">
        <x:v>Total variable costs</x:v>
      </x:c>
      <x:c r="B65" s="379" t="n">
        <x:f>SUM(B37:B41)+SUM(B51:B54)</x:f>
        <x:v>0</x:v>
      </x:c>
      <x:c r="C65" s="379" t="n">
        <x:f>SUM(C37:C41)+SUM(C51:C54)</x:f>
        <x:v>0</x:v>
      </x:c>
      <x:c r="D65" s="379" t="n">
        <x:f>SUM(D37:D41)+SUM(D51:D54)</x:f>
        <x:v>2219.7</x:v>
      </x:c>
      <x:c r="E65" s="379" t="n">
        <x:f>SUM(E37:E41)+SUM(E51:E54)</x:f>
        <x:v>3065.2999999999997</x:v>
      </x:c>
      <x:c r="F65" s="379" t="n">
        <x:f>SUM(F37:F41)+SUM(F51:F54)</x:f>
        <x:v>4439.4</x:v>
      </x:c>
      <x:c r="G65" s="379" t="n">
        <x:f>SUM(G37:G41)+SUM(G51:G54)</x:f>
        <x:v>4439.4</x:v>
      </x:c>
      <x:c r="H65" s="379" t="n">
        <x:f>SUM(H37:H41)+SUM(H51:H54)</x:f>
        <x:v>127039.4</x:v>
      </x:c>
      <x:c r="I65" s="379" t="n">
        <x:f>SUM(I37:I41)+SUM(I51:I54)</x:f>
        <x:v>82225.55625</x:v>
      </x:c>
      <x:c r="J65" s="379" t="n">
        <x:f>SUM(J37:J41)+SUM(J51:J54)</x:f>
        <x:v>108154.275</x:v>
      </x:c>
      <x:c r="K65" s="379" t="n">
        <x:f>SUM(K37:K41)+SUM(K51:K54)</x:f>
        <x:v>230754.275</x:v>
      </x:c>
      <x:c r="L65" s="379" t="n">
        <x:f>SUM(L37:L41)+SUM(L51:L54)</x:f>
        <x:v>108154.275</x:v>
      </x:c>
      <x:c r="M65" s="379" t="n">
        <x:f>SUM(M37:M41)+SUM(M51:M54)</x:f>
        <x:v>108154.275</x:v>
      </x:c>
      <x:c r="N65" s="379" t="n">
        <x:f>SUM(N37:N41)+SUM(N51:N54)</x:f>
        <x:v>230754.275</x:v>
      </x:c>
      <x:c r="O65" s="379" t="n">
        <x:f>SUM(O37:O41)+SUM(O51:O54)</x:f>
        <x:v>108154.275</x:v>
      </x:c>
      <x:c r="P65" s="379" t="n">
        <x:f>SUM(P37:P41)+SUM(P51:P54)</x:f>
        <x:v>211869.15</x:v>
      </x:c>
      <x:c r="Q65" s="379" t="n">
        <x:f>SUM(Q37:Q41)+SUM(Q51:Q54)</x:f>
        <x:v>369040.775</x:v>
      </x:c>
      <x:c r="R65" s="379" t="n">
        <x:f>SUM(R37:R41)+SUM(R51:R54)</x:f>
        <x:v>402013.0875</x:v>
      </x:c>
      <x:c r="S65" s="379" t="n">
        <x:f>SUM(S37:S41)+SUM(S51:S54)</x:f>
        <x:v>453870.52499999997</x:v>
      </x:c>
      <x:c r="T65" s="379" t="n">
        <x:f>SUM(T37:T41)+SUM(T51:T54)</x:f>
        <x:v>757971.55625</x:v>
      </x:c>
      <x:c r="U65" s="379" t="n">
        <x:f>SUM(U37:U41)+SUM(U51:U54)</x:f>
        <x:v>695871.9</x:v>
      </x:c>
      <x:c r="V65" s="379" t="n">
        <x:f>SUM(V37:V41)+SUM(V51:V54)</x:f>
        <x:v>1214446.275</x:v>
      </x:c>
      <x:c r="W65" s="227"/>
      <x:c r="X65" s="227"/>
      <x:c r="Y65" s="227"/>
      <x:c r="Z65" s="227"/>
    </x:row>
    <x:row r="66">
      <x:c r="A66" s="337" t="str">
        <x:v>Gross contribution</x:v>
      </x:c>
      <x:c r="B66" s="387" t="n">
        <x:f>B63-B65</x:f>
        <x:v>0</x:v>
      </x:c>
      <x:c r="C66" s="387" t="n">
        <x:f>C63-C65</x:f>
        <x:v>0</x:v>
      </x:c>
      <x:c r="D66" s="387" t="n">
        <x:f>D63-D65</x:f>
        <x:v>5235.3</x:v>
      </x:c>
      <x:c r="E66" s="387" t="n">
        <x:f>E63-E65</x:f>
        <x:v>7229.700000000001</x:v>
      </x:c>
      <x:c r="F66" s="387" t="n">
        <x:f>F63-F65</x:f>
        <x:v>10470.6</x:v>
      </x:c>
      <x:c r="G66" s="387" t="n">
        <x:f>G63-G65</x:f>
        <x:v>10470.6</x:v>
      </x:c>
      <x:c r="H66" s="387" t="n">
        <x:f>H63-H65</x:f>
        <x:v>87870.6</x:v>
      </x:c>
      <x:c r="I66" s="387" t="n">
        <x:f>I63-I65</x:f>
        <x:v>106412.56875</x:v>
      </x:c>
      <x:c r="J66" s="387" t="n">
        <x:f>J63-J65</x:f>
        <x:v>138393.225</x:v>
      </x:c>
      <x:c r="K66" s="387" t="n">
        <x:f>K63-K65</x:f>
        <x:v>215793.225</x:v>
      </x:c>
      <x:c r="L66" s="387" t="n">
        <x:f>L63-L65</x:f>
        <x:v>138393.225</x:v>
      </x:c>
      <x:c r="M66" s="387" t="n">
        <x:f>M63-M65</x:f>
        <x:v>138393.225</x:v>
      </x:c>
      <x:c r="N66" s="387" t="n">
        <x:f>N63-N65</x:f>
        <x:v>215793.225</x:v>
      </x:c>
      <x:c r="O66" s="387" t="n">
        <x:f>O63-O65</x:f>
        <x:v>138393.225</x:v>
      </x:c>
      <x:c r="P66" s="387" t="n">
        <x:f>P63-P65</x:f>
        <x:v>266315.85</x:v>
      </x:c>
      <x:c r="Q66" s="387" t="n">
        <x:f>Q63-Q65</x:f>
        <x:v>386356.725</x:v>
      </x:c>
      <x:c r="R66" s="387" t="n">
        <x:f>R63-R65</x:f>
        <x:v>500840.6625</x:v>
      </x:c>
      <x:c r="S66" s="387" t="n">
        <x:f>S63-S65</x:f>
        <x:v>564801.9750000001</x:v>
      </x:c>
      <x:c r="T66" s="387" t="n">
        <x:f>T63-T65</x:f>
        <x:v>866066.56875</x:v>
      </x:c>
      <x:c r="U66" s="387" t="n">
        <x:f>U63-U65</x:f>
        <x:v>863288.1</x:v>
      </x:c>
      <x:c r="V66" s="387" t="n">
        <x:f>V63-V65</x:f>
        <x:v>1502901.225</x:v>
      </x:c>
      <x:c r="W66" s="227"/>
      <x:c r="X66" s="227"/>
      <x:c r="Y66" s="227"/>
      <x:c r="Z66" s="227"/>
    </x:row>
    <x:row r="67">
      <x:c r="A67" s="327" t="str">
        <x:v>Fixed OPEX</x:v>
      </x:c>
      <x:c r="B67" s="379" t="n">
        <x:f>B19</x:f>
        <x:v>0</x:v>
      </x:c>
      <x:c r="C67" s="379" t="n">
        <x:f>C19</x:f>
        <x:v>15700</x:v>
      </x:c>
      <x:c r="D67" s="379" t="n">
        <x:f>D19</x:f>
        <x:v>15700</x:v>
      </x:c>
      <x:c r="E67" s="379" t="n">
        <x:f>E19</x:f>
        <x:v>15700</x:v>
      </x:c>
      <x:c r="F67" s="379" t="n">
        <x:f>F19</x:f>
        <x:v>15700</x:v>
      </x:c>
      <x:c r="G67" s="379" t="n">
        <x:f>G19</x:f>
        <x:v>15700</x:v>
      </x:c>
      <x:c r="H67" s="379" t="n">
        <x:f>H19</x:f>
        <x:v>15700</x:v>
      </x:c>
      <x:c r="I67" s="379" t="n">
        <x:f>I19</x:f>
        <x:v>15700</x:v>
      </x:c>
      <x:c r="J67" s="379" t="n">
        <x:f>J19</x:f>
        <x:v>15700</x:v>
      </x:c>
      <x:c r="K67" s="379" t="n">
        <x:f>K19</x:f>
        <x:v>15700</x:v>
      </x:c>
      <x:c r="L67" s="379" t="n">
        <x:f>L19</x:f>
        <x:v>15700</x:v>
      </x:c>
      <x:c r="M67" s="379" t="n">
        <x:f>M19</x:f>
        <x:v>15700</x:v>
      </x:c>
      <x:c r="N67" s="379" t="n">
        <x:f>N19</x:f>
        <x:v>15700</x:v>
      </x:c>
      <x:c r="O67" s="379" t="n">
        <x:f>O19</x:f>
        <x:v>15700</x:v>
      </x:c>
      <x:c r="P67" s="379" t="n">
        <x:f>P19</x:f>
        <x:v>30000</x:v>
      </x:c>
      <x:c r="Q67" s="379" t="n">
        <x:f>Q19</x:f>
        <x:v>30000</x:v>
      </x:c>
      <x:c r="R67" s="379" t="n">
        <x:f>R19</x:f>
        <x:v>60000</x:v>
      </x:c>
      <x:c r="S67" s="379" t="n">
        <x:f>S19</x:f>
        <x:v>60000</x:v>
      </x:c>
      <x:c r="T67" s="379" t="n">
        <x:f>T19</x:f>
        <x:v>110000</x:v>
      </x:c>
      <x:c r="U67" s="379" t="n">
        <x:f>U19</x:f>
        <x:v>110000</x:v>
      </x:c>
      <x:c r="V67" s="379" t="n">
        <x:f>V19</x:f>
        <x:v>235000</x:v>
      </x:c>
      <x:c r="W67" s="227"/>
      <x:c r="X67" s="227"/>
      <x:c r="Y67" s="227"/>
      <x:c r="Z67" s="227"/>
    </x:row>
    <x:row r="68">
      <x:c r="A68" s="339" t="str">
        <x:v>EBITDA</x:v>
      </x:c>
      <x:c r="B68" s="388" t="n">
        <x:f>B66-B67</x:f>
        <x:v>0</x:v>
      </x:c>
      <x:c r="C68" s="388" t="n">
        <x:f>C66-C67</x:f>
        <x:v>-15700</x:v>
      </x:c>
      <x:c r="D68" s="388" t="n">
        <x:f>D66-D67</x:f>
        <x:v>-10464.7</x:v>
      </x:c>
      <x:c r="E68" s="388" t="n">
        <x:f>E66-E67</x:f>
        <x:v>-8470.3</x:v>
      </x:c>
      <x:c r="F68" s="388" t="n">
        <x:f>F66-F67</x:f>
        <x:v>-5229.4</x:v>
      </x:c>
      <x:c r="G68" s="388" t="n">
        <x:f>G66-G67</x:f>
        <x:v>-5229.4</x:v>
      </x:c>
      <x:c r="H68" s="388" t="n">
        <x:f>H66-H67</x:f>
        <x:v>72170.6</x:v>
      </x:c>
      <x:c r="I68" s="388" t="n">
        <x:f>I66-I67</x:f>
        <x:v>90712.56875</x:v>
      </x:c>
      <x:c r="J68" s="388" t="n">
        <x:f>J66-J67</x:f>
        <x:v>122693.225</x:v>
      </x:c>
      <x:c r="K68" s="388" t="n">
        <x:f>K66-K67</x:f>
        <x:v>200093.225</x:v>
      </x:c>
      <x:c r="L68" s="388" t="n">
        <x:f>L66-L67</x:f>
        <x:v>122693.225</x:v>
      </x:c>
      <x:c r="M68" s="388" t="n">
        <x:f>M66-M67</x:f>
        <x:v>122693.225</x:v>
      </x:c>
      <x:c r="N68" s="388" t="n">
        <x:f>N66-N67</x:f>
        <x:v>200093.225</x:v>
      </x:c>
      <x:c r="O68" s="388" t="n">
        <x:f>O66-O67</x:f>
        <x:v>122693.225</x:v>
      </x:c>
      <x:c r="P68" s="388" t="n">
        <x:f>P66-P67</x:f>
        <x:v>236315.84999999998</x:v>
      </x:c>
      <x:c r="Q68" s="388" t="n">
        <x:f>Q66-Q67</x:f>
        <x:v>356356.725</x:v>
      </x:c>
      <x:c r="R68" s="388" t="n">
        <x:f>R66-R67</x:f>
        <x:v>440840.6625</x:v>
      </x:c>
      <x:c r="S68" s="388" t="n">
        <x:f>S66-S67</x:f>
        <x:v>504801.9750000001</x:v>
      </x:c>
      <x:c r="T68" s="388" t="n">
        <x:f>T66-T67</x:f>
        <x:v>756066.56875</x:v>
      </x:c>
      <x:c r="U68" s="388" t="n">
        <x:f>U66-U67</x:f>
        <x:v>753288.1</x:v>
      </x:c>
      <x:c r="V68" s="388" t="n">
        <x:f>V66-V67</x:f>
        <x:v>1267901.225</x:v>
      </x:c>
      <x:c r="W68" s="227"/>
      <x:c r="X68" s="227"/>
      <x:c r="Y68" s="227"/>
      <x:c r="Z68" s="227"/>
    </x:row>
    <x:row r="69">
      <x:c r="A69" s="327" t="str">
        <x:v>EBITDA margin</x:v>
      </x:c>
      <x:c r="B69" s="389" t="n">
        <x:f>IF(B63=0,0,B68/B63)</x:f>
        <x:v>0</x:v>
      </x:c>
      <x:c r="C69" s="389" t="n">
        <x:f>IF(C63=0,0,C68/C63)</x:f>
        <x:v>0</x:v>
      </x:c>
      <x:c r="D69" s="389" t="n">
        <x:f>IF(D63=0,0,D68/D63)</x:f>
        <x:v>-1.4037156270959088</x:v>
      </x:c>
      <x:c r="E69" s="389" t="n">
        <x:f>IF(E63=0,0,E68/E63)</x:f>
        <x:v>-0.8227586206896551</x:v>
      </x:c>
      <x:c r="F69" s="389" t="n">
        <x:f>IF(F63=0,0,F68/F63)</x:f>
        <x:v>-0.3507310529845741</x:v>
      </x:c>
      <x:c r="G69" s="389" t="n">
        <x:f>IF(G63=0,0,G68/G63)</x:f>
        <x:v>-0.3507310529845741</x:v>
      </x:c>
      <x:c r="H69" s="389" t="n">
        <x:f>IF(H63=0,0,H68/H63)</x:f>
        <x:v>0.3358177841887302</x:v>
      </x:c>
      <x:c r="I69" s="389" t="n">
        <x:f>IF(I63=0,0,I68/I63)</x:f>
        <x:v>0.4808814164687017</x:v>
      </x:c>
      <x:c r="J69" s="389" t="n">
        <x:f>IF(J63=0,0,J68/J63)</x:f>
        <x:v>0.49764538273557835</x:v>
      </x:c>
      <x:c r="K69" s="389" t="n">
        <x:f>IF(K63=0,0,K68/K63)</x:f>
        <x:v>0.44808945296972885</x:v>
      </x:c>
      <x:c r="L69" s="389" t="n">
        <x:f>IF(L63=0,0,L68/L63)</x:f>
        <x:v>0.49764538273557835</x:v>
      </x:c>
      <x:c r="M69" s="389" t="n">
        <x:f>IF(M63=0,0,M68/M63)</x:f>
        <x:v>0.49764538273557835</x:v>
      </x:c>
      <x:c r="N69" s="389" t="n">
        <x:f>IF(N63=0,0,N68/N63)</x:f>
        <x:v>0.44808945296972885</x:v>
      </x:c>
      <x:c r="O69" s="389" t="n">
        <x:f>IF(O63=0,0,O68/O63)</x:f>
        <x:v>0.49764538273557835</x:v>
      </x:c>
      <x:c r="P69" s="389" t="n">
        <x:f>IF(P63=0,0,P68/P63)</x:f>
        <x:v>0.4941933561278584</x:v>
      </x:c>
      <x:c r="Q69" s="389" t="n">
        <x:f>IF(Q63=0,0,Q68/Q63)</x:f>
        <x:v>0.47174729198865495</x:v>
      </x:c>
      <x:c r="R69" s="389" t="n">
        <x:f>IF(R63=0,0,R68/R63)</x:f>
        <x:v>0.4882747205735148</x:v>
      </x:c>
      <x:c r="S69" s="389" t="n">
        <x:f>IF(S63=0,0,S68/S63)</x:f>
        <x:v>0.49554883929820437</x:v>
      </x:c>
      <x:c r="T69" s="389" t="n">
        <x:f>IF(T63=0,0,T68/T63)</x:f>
        <x:v>0.46554730280731554</x:v>
      </x:c>
      <x:c r="U69" s="389" t="n">
        <x:f>IF(U63=0,0,U68/U63)</x:f>
        <x:v>0.4831371379460735</x:v>
      </x:c>
      <x:c r="V69" s="389" t="n">
        <x:f>IF(V63=0,0,V68/V63)</x:f>
        <x:v>0.46659517231417774</x:v>
      </x:c>
      <x:c r="W69" s="227"/>
      <x:c r="X69" s="227"/>
      <x:c r="Y69" s="227"/>
      <x:c r="Z69" s="227"/>
    </x:row>
    <x:row r="70">
      <x:c r="A70" s="327" t="str">
        <x:v>Machine deposit cash</x:v>
      </x:c>
      <x:c r="B70" s="379" t="n">
        <x:f>B12</x:f>
        <x:v>0</x:v>
      </x:c>
      <x:c r="C70" s="379" t="n">
        <x:f>C12</x:f>
        <x:v>0</x:v>
      </x:c>
      <x:c r="D70" s="379" t="n">
        <x:f>D12</x:f>
        <x:v>20757.500000000004</x:v>
      </x:c>
      <x:c r="E70" s="379" t="n">
        <x:f>E12</x:f>
        <x:v>0</x:v>
      </x:c>
      <x:c r="F70" s="379" t="n">
        <x:f>F12</x:f>
        <x:v>0</x:v>
      </x:c>
      <x:c r="G70" s="379" t="n">
        <x:f>G12</x:f>
        <x:v>0</x:v>
      </x:c>
      <x:c r="H70" s="379" t="n">
        <x:f>H12</x:f>
        <x:v>0</x:v>
      </x:c>
      <x:c r="I70" s="379" t="n">
        <x:f>I12</x:f>
        <x:v>0</x:v>
      </x:c>
      <x:c r="J70" s="379" t="n">
        <x:f>J12</x:f>
        <x:v>0</x:v>
      </x:c>
      <x:c r="K70" s="379" t="n">
        <x:f>K12</x:f>
        <x:v>27676.66666666667</x:v>
      </x:c>
      <x:c r="L70" s="379" t="n">
        <x:f>L12</x:f>
        <x:v>0</x:v>
      </x:c>
      <x:c r="M70" s="379" t="n">
        <x:f>M12</x:f>
        <x:v>41515.00000000001</x:v>
      </x:c>
      <x:c r="N70" s="379" t="n">
        <x:f>N12</x:f>
        <x:v>0</x:v>
      </x:c>
      <x:c r="O70" s="379" t="n">
        <x:f>O12</x:f>
        <x:v>48434.16666666667</x:v>
      </x:c>
      <x:c r="P70" s="379" t="n">
        <x:f>P12</x:f>
        <x:v>0</x:v>
      </x:c>
      <x:c r="Q70" s="379" t="n">
        <x:f>Q12</x:f>
        <x:v>138383.33333333334</x:v>
      </x:c>
      <x:c r="R70" s="379" t="n">
        <x:f>R12</x:f>
        <x:v>0</x:v>
      </x:c>
      <x:c r="S70" s="379" t="n">
        <x:f>S12</x:f>
        <x:v>276766.6666666667</x:v>
      </x:c>
      <x:c r="T70" s="379" t="n">
        <x:f>T12</x:f>
        <x:v>0</x:v>
      </x:c>
      <x:c r="U70" s="379" t="n">
        <x:f>U12</x:f>
        <x:v>0</x:v>
      </x:c>
      <x:c r="V70" s="379" t="n">
        <x:f>V12</x:f>
        <x:v>0</x:v>
      </x:c>
      <x:c r="W70" s="227"/>
      <x:c r="X70" s="227"/>
      <x:c r="Y70" s="227"/>
      <x:c r="Z70" s="227"/>
    </x:row>
    <x:row r="71">
      <x:c r="A71" s="327" t="str">
        <x:v>Machine balance cash</x:v>
      </x:c>
      <x:c r="B71" s="379" t="n">
        <x:f>B13</x:f>
        <x:v>0</x:v>
      </x:c>
      <x:c r="C71" s="379" t="n">
        <x:f>C13</x:f>
        <x:v>0</x:v>
      </x:c>
      <x:c r="D71" s="379" t="n">
        <x:f>D13</x:f>
        <x:v>0</x:v>
      </x:c>
      <x:c r="E71" s="379" t="n">
        <x:f>E13</x:f>
        <x:v>0</x:v>
      </x:c>
      <x:c r="F71" s="379" t="n">
        <x:f>F13</x:f>
        <x:v>62272.500000000015</x:v>
      </x:c>
      <x:c r="G71" s="379" t="n">
        <x:f>G13</x:f>
        <x:v>0</x:v>
      </x:c>
      <x:c r="H71" s="379" t="n">
        <x:f>H13</x:f>
        <x:v>0</x:v>
      </x:c>
      <x:c r="I71" s="379" t="n">
        <x:f>I13</x:f>
        <x:v>0</x:v>
      </x:c>
      <x:c r="J71" s="379" t="n">
        <x:f>J13</x:f>
        <x:v>0</x:v>
      </x:c>
      <x:c r="K71" s="379" t="n">
        <x:f>K13</x:f>
        <x:v>0</x:v>
      </x:c>
      <x:c r="L71" s="379" t="n">
        <x:f>L13</x:f>
        <x:v>0</x:v>
      </x:c>
      <x:c r="M71" s="379" t="n">
        <x:f>M13</x:f>
        <x:v>83030.00000000001</x:v>
      </x:c>
      <x:c r="N71" s="379" t="n">
        <x:f>N13</x:f>
        <x:v>0</x:v>
      </x:c>
      <x:c r="O71" s="379" t="n">
        <x:f>O13</x:f>
        <x:v>124545.00000000003</x:v>
      </x:c>
      <x:c r="P71" s="379" t="n">
        <x:f>P13</x:f>
        <x:v>0</x:v>
      </x:c>
      <x:c r="Q71" s="379" t="n">
        <x:f>Q13</x:f>
        <x:v>145302.5</x:v>
      </x:c>
      <x:c r="R71" s="379" t="n">
        <x:f>R13</x:f>
        <x:v>0</x:v>
      </x:c>
      <x:c r="S71" s="379" t="n">
        <x:f>S13</x:f>
        <x:v>415150</x:v>
      </x:c>
      <x:c r="T71" s="379" t="n">
        <x:f>T13</x:f>
        <x:v>0</x:v>
      </x:c>
      <x:c r="U71" s="379" t="n">
        <x:f>U13</x:f>
        <x:v>830300</x:v>
      </x:c>
      <x:c r="V71" s="379" t="n">
        <x:f>V13</x:f>
        <x:v>0</x:v>
      </x:c>
      <x:c r="W71" s="227"/>
      <x:c r="X71" s="227"/>
      <x:c r="Y71" s="227"/>
      <x:c r="Z71" s="227"/>
    </x:row>
    <x:row r="72">
      <x:c r="A72" s="327" t="str">
        <x:v>Installation cash paid (60d)</x:v>
      </x:c>
      <x:c r="B72" s="379" t="n">
        <x:f>0</x:f>
        <x:v>0</x:v>
      </x:c>
      <x:c r="C72" s="379" t="n">
        <x:f>0</x:f>
        <x:v>0</x:v>
      </x:c>
      <x:c r="D72" s="379" t="n">
        <x:f>B14*Assumptions!$B$36</x:f>
        <x:v>0</x:v>
      </x:c>
      <x:c r="E72" s="379" t="n">
        <x:f>C14*Assumptions!$B$36</x:f>
        <x:v>0</x:v>
      </x:c>
      <x:c r="F72" s="379" t="n">
        <x:f>D14*Assumptions!$B$36</x:f>
        <x:v>0</x:v>
      </x:c>
      <x:c r="G72" s="379" t="n">
        <x:f>E14*Assumptions!$B$36</x:f>
        <x:v>0</x:v>
      </x:c>
      <x:c r="H72" s="379" t="n">
        <x:f>F14*Assumptions!$B$36</x:f>
        <x:v>0</x:v>
      </x:c>
      <x:c r="I72" s="379" t="n">
        <x:f>G14*Assumptions!$B$36</x:f>
        <x:v>0</x:v>
      </x:c>
      <x:c r="J72" s="379" t="n">
        <x:f>H14*Assumptions!$B$36</x:f>
        <x:v>0</x:v>
      </x:c>
      <x:c r="K72" s="379" t="n">
        <x:f>I14*Assumptions!$B$36</x:f>
        <x:v>4500</x:v>
      </x:c>
      <x:c r="L72" s="379" t="n">
        <x:f>J14*Assumptions!$B$36</x:f>
        <x:v>0</x:v>
      </x:c>
      <x:c r="M72" s="379" t="n">
        <x:f>K14*Assumptions!$B$36</x:f>
        <x:v>0</x:v>
      </x:c>
      <x:c r="N72" s="379" t="n">
        <x:f>L14*Assumptions!$B$36</x:f>
        <x:v>0</x:v>
      </x:c>
      <x:c r="O72" s="379" t="n">
        <x:f>M14*Assumptions!$B$36</x:f>
        <x:v>0</x:v>
      </x:c>
      <x:c r="P72" s="379" t="n">
        <x:f>N14*Assumptions!$B$36</x:f>
        <x:v>0</x:v>
      </x:c>
      <x:c r="Q72" s="379" t="n">
        <x:f>O14*Assumptions!$B$36</x:f>
        <x:v>0</x:v>
      </x:c>
      <x:c r="R72" s="379" t="n">
        <x:f>P14*Assumptions!$B$36</x:f>
        <x:v>6000</x:v>
      </x:c>
      <x:c r="S72" s="379" t="n">
        <x:f>Q14*Assumptions!$B$36</x:f>
        <x:v>0</x:v>
      </x:c>
      <x:c r="T72" s="379" t="n">
        <x:f>R14*Assumptions!$B$36</x:f>
        <x:v>9000</x:v>
      </x:c>
      <x:c r="U72" s="379" t="n">
        <x:f>S14*Assumptions!$B$36</x:f>
        <x:v>0</x:v>
      </x:c>
      <x:c r="V72" s="379" t="n">
        <x:f>T14*Assumptions!$B$36</x:f>
        <x:v>10500</x:v>
      </x:c>
      <x:c r="W72" s="227"/>
      <x:c r="X72" s="227"/>
      <x:c r="Y72" s="227"/>
      <x:c r="Z72" s="227"/>
    </x:row>
    <x:row r="73">
      <x:c r="A73" s="327" t="str">
        <x:v>Vending logistics cash paid (60d)</x:v>
      </x:c>
      <x:c r="B73" s="379" t="n">
        <x:f>0</x:f>
        <x:v>0</x:v>
      </x:c>
      <x:c r="C73" s="379" t="n">
        <x:f>0</x:f>
        <x:v>0</x:v>
      </x:c>
      <x:c r="D73" s="379" t="n">
        <x:f>B36*Assumptions!$B$56</x:f>
        <x:v>0</x:v>
      </x:c>
      <x:c r="E73" s="379" t="n">
        <x:f>C36*Assumptions!$B$56</x:f>
        <x:v>0</x:v>
      </x:c>
      <x:c r="F73" s="379" t="n">
        <x:f>D36*Assumptions!$B$56</x:f>
        <x:v>521.85</x:v>
      </x:c>
      <x:c r="G73" s="379" t="n">
        <x:f>E36*Assumptions!$B$56</x:f>
        <x:v>720.6500000000001</x:v>
      </x:c>
      <x:c r="H73" s="379" t="n">
        <x:f>F36*Assumptions!$B$56</x:f>
        <x:v>1043.7</x:v>
      </x:c>
      <x:c r="I73" s="379" t="n">
        <x:f>G36*Assumptions!$B$56</x:f>
        <x:v>1043.7</x:v>
      </x:c>
      <x:c r="J73" s="379" t="n">
        <x:f>H36*Assumptions!$B$56</x:f>
        <x:v>1043.7</x:v>
      </x:c>
      <x:c r="K73" s="379" t="n">
        <x:f>I36*Assumptions!$B$56</x:f>
        <x:v>13204.66875</x:v>
      </x:c>
      <x:c r="L73" s="379" t="n">
        <x:f>J36*Assumptions!$B$56</x:f>
        <x:v>17258.325</x:v>
      </x:c>
      <x:c r="M73" s="379" t="n">
        <x:f>K36*Assumptions!$B$56</x:f>
        <x:v>17258.325</x:v>
      </x:c>
      <x:c r="N73" s="379" t="n">
        <x:f>L36*Assumptions!$B$56</x:f>
        <x:v>17258.325</x:v>
      </x:c>
      <x:c r="O73" s="379" t="n">
        <x:f>M36*Assumptions!$B$56</x:f>
        <x:v>17258.325</x:v>
      </x:c>
      <x:c r="P73" s="379" t="n">
        <x:f>N36*Assumptions!$B$56</x:f>
        <x:v>17258.325</x:v>
      </x:c>
      <x:c r="Q73" s="379" t="n">
        <x:f>O36*Assumptions!$B$56</x:f>
        <x:v>17258.325</x:v>
      </x:c>
      <x:c r="R73" s="379" t="n">
        <x:f>P36*Assumptions!$B$56</x:f>
        <x:v>33472.950000000004</x:v>
      </x:c>
      <x:c r="S73" s="379" t="n">
        <x:f>Q36*Assumptions!$B$56</x:f>
        <x:v>38877.825000000004</x:v>
      </x:c>
      <x:c r="T73" s="379" t="n">
        <x:f>R36*Assumptions!$B$56</x:f>
        <x:v>63199.762500000004</x:v>
      </x:c>
      <x:c r="U73" s="379" t="n">
        <x:f>S36*Assumptions!$B$56</x:f>
        <x:v>71307.07500000001</x:v>
      </x:c>
      <x:c r="V73" s="379" t="n">
        <x:f>T36*Assumptions!$B$56</x:f>
        <x:v>99682.66875000001</x:v>
      </x:c>
      <x:c r="W73" s="227"/>
      <x:c r="X73" s="227"/>
      <x:c r="Y73" s="227"/>
      <x:c r="Z73" s="227"/>
    </x:row>
    <x:row r="74">
      <x:c r="A74" s="327" t="str">
        <x:v>Total cash outflows</x:v>
      </x:c>
      <x:c r="B74" s="379" t="n">
        <x:f>B67+B70+B71+B72+B23+B24+B38+B40+B41+B73+B56+B57+B58+B59+B60</x:f>
        <x:v>0</x:v>
      </x:c>
      <x:c r="C74" s="379" t="n">
        <x:f>C67+C70+C71+C72+C23+C24+C38+C40+C41+C73+C56+C57+C58+C59+C60</x:f>
        <x:v>15700</x:v>
      </x:c>
      <x:c r="D74" s="379" t="n">
        <x:f>D67+D70+D71+D72+D23+D24+D38+D40+D41+D73+D56+D57+D58+D59+D60</x:f>
        <x:v>62744.19</x:v>
      </x:c>
      <x:c r="E74" s="379" t="n">
        <x:f>E67+E70+E71+E72+E23+E24+E38+E40+E41+E73+E56+E57+E58+E59+E60</x:f>
        <x:v>94172.81</x:v>
      </x:c>
      <x:c r="F74" s="379" t="n">
        <x:f>F67+F70+F71+F72+F23+F24+F38+F40+F41+F73+F56+F57+F58+F59+F60</x:f>
        <x:v>87022.73000000003</x:v>
      </x:c>
      <x:c r="G74" s="379" t="n">
        <x:f>G67+G70+G71+G72+G23+G24+G38+G40+G41+G73+G56+G57+G58+G59+G60</x:f>
        <x:v>35649.03</x:v>
      </x:c>
      <x:c r="H74" s="379" t="n">
        <x:f>H67+H70+H71+H72+H23+H24+H38+H40+H41+H73+H56+H57+H58+H59+H60</x:f>
        <x:v>99022.08</x:v>
      </x:c>
      <x:c r="I74" s="379" t="n">
        <x:f>I67+I70+I71+I72+I23+I24+I38+I40+I41+I73+I56+I57+I58+I59+I60</x:f>
        <x:v>68887.13</x:v>
      </x:c>
      <x:c r="J74" s="379" t="n">
        <x:f>J67+J70+J71+J72+J23+J24+J38+J40+J41+J73+J56+J57+J58+J59+J60</x:f>
        <x:v>140077.08</x:v>
      </x:c>
      <x:c r="K74" s="379" t="n">
        <x:f>K67+K70+K71+K72+K23+K24+K38+K40+K41+K73+K56+K57+K58+K59+K60</x:f>
        <x:v>233551.54041666668</x:v>
      </x:c>
      <x:c r="L74" s="379" t="n">
        <x:f>L67+L70+L71+L72+L23+L24+L38+L40+L41+L73+L56+L57+L58+L59+L60</x:f>
        <x:v>131939.00499999998</x:v>
      </x:c>
      <x:c r="M74" s="379" t="n">
        <x:f>M67+M70+M71+M72+M23+M24+M38+M40+M41+M73+M56+M57+M58+M59+M60</x:f>
        <x:v>281184.005</x:v>
      </x:c>
      <x:c r="N74" s="379" t="n">
        <x:f>N67+N70+N71+N72+N23+N24+N38+N40+N41+N73+N56+N57+N58+N59+N60</x:f>
        <x:v>219320.53</x:v>
      </x:c>
      <x:c r="O74" s="379" t="n">
        <x:f>O67+O70+O71+O72+O23+O24+O38+O40+O41+O73+O56+O57+O58+O59+O60</x:f>
        <x:v>361614.89666666667</x:v>
      </x:c>
      <x:c r="P74" s="379" t="n">
        <x:f>P67+P70+P71+P72+P23+P24+P38+P40+P41+P73+P56+P57+P58+P59+P60</x:f>
        <x:v>296034.48</x:v>
      </x:c>
      <x:c r="Q74" s="379" t="n">
        <x:f>Q67+Q70+Q71+Q72+Q23+Q24+Q38+Q40+Q41+Q73+Q56+Q57+Q58+Q59+Q60</x:f>
        <x:v>705343.5133333334</x:v>
      </x:c>
      <x:c r="R74" s="379" t="n">
        <x:f>R67+R70+R71+R72+R23+R24+R38+R40+R41+R73+R56+R57+R58+R59+R60</x:f>
        <x:v>496208.555</x:v>
      </x:c>
      <x:c r="S74" s="379" t="n">
        <x:f>S67+S70+S71+S72+S23+S24+S38+S40+S41+S73+S56+S57+S58+S59+S60</x:f>
        <x:v>1305296.8216666668</x:v>
      </x:c>
      <x:c r="T74" s="379" t="n">
        <x:f>T67+T70+T71+T72+T23+T24+T38+T40+T41+T73+T56+T57+T58+T59+T60</x:f>
        <x:v>898139.5175</x:v>
      </x:c>
      <x:c r="U74" s="379" t="n">
        <x:f>U67+U70+U71+U72+U23+U24+U38+U40+U41+U73+U56+U57+U58+U59+U60</x:f>
        <x:v>1733968.43</x:v>
      </x:c>
      <x:c r="V74" s="379" t="n">
        <x:f>V67+V70+V71+V72+V23+V24+V38+V40+V41+V73+V56+V57+V58+V59+V60</x:f>
        <x:v>870483.0487500001</x:v>
      </x:c>
      <x:c r="W74" s="227"/>
      <x:c r="X74" s="227"/>
      <x:c r="Y74" s="227"/>
      <x:c r="Z74" s="227"/>
    </x:row>
    <x:row r="75">
      <x:c r="A75" s="327" t="str">
        <x:v>Total cash inflows</x:v>
      </x:c>
      <x:c r="B75" s="379" t="n">
        <x:f>B8+B9+B36+B49+B50</x:f>
        <x:v>0</x:v>
      </x:c>
      <x:c r="C75" s="379" t="n">
        <x:f>C8+C9+C36+C49+C50</x:f>
        <x:v>230000</x:v>
      </x:c>
      <x:c r="D75" s="379" t="n">
        <x:f>D8+D9+D36+D49+D50</x:f>
        <x:v>7455</x:v>
      </x:c>
      <x:c r="E75" s="379" t="n">
        <x:f>E8+E9+E36+E49+E50</x:f>
        <x:v>10295</x:v>
      </x:c>
      <x:c r="F75" s="379" t="n">
        <x:f>F8+F9+F36+F49+F50</x:f>
        <x:v>114910</x:v>
      </x:c>
      <x:c r="G75" s="379" t="n">
        <x:f>G8+G9+G36+G49+G50</x:f>
        <x:v>14910</x:v>
      </x:c>
      <x:c r="H75" s="379" t="n">
        <x:f>H8+H9+H36+H49+H50</x:f>
        <x:v>114910</x:v>
      </x:c>
      <x:c r="I75" s="379" t="n">
        <x:f>I8+I9+I36+I49+I50</x:f>
        <x:v>288638.125</x:v>
      </x:c>
      <x:c r="J75" s="379" t="n">
        <x:f>J8+J9+J36+J49+J50</x:f>
        <x:v>246547.5</x:v>
      </x:c>
      <x:c r="K75" s="379" t="n">
        <x:f>K8+K9+K36+K49+K50</x:f>
        <x:v>346547.5</x:v>
      </x:c>
      <x:c r="L75" s="379" t="n">
        <x:f>L8+L9+L36+L49+L50</x:f>
        <x:v>346547.5</x:v>
      </x:c>
      <x:c r="M75" s="379" t="n">
        <x:f>M8+M9+M36+M49+M50</x:f>
        <x:v>246547.5</x:v>
      </x:c>
      <x:c r="N75" s="379" t="n">
        <x:f>N8+N9+N36+N49+N50</x:f>
        <x:v>346547.5</x:v>
      </x:c>
      <x:c r="O75" s="379" t="n">
        <x:f>O8+O9+O36+O49+O50</x:f>
        <x:v>346547.5</x:v>
      </x:c>
      <x:c r="P75" s="379" t="n">
        <x:f>P8+P9+P36+P49+P50</x:f>
        <x:v>478185</x:v>
      </x:c>
      <x:c r="Q75" s="379" t="n">
        <x:f>Q8+Q9+Q36+Q49+Q50</x:f>
        <x:v>655397.5</x:v>
      </x:c>
      <x:c r="R75" s="379" t="n">
        <x:f>R8+R9+R36+R49+R50</x:f>
        <x:v>1002853.75</x:v>
      </x:c>
      <x:c r="S75" s="379" t="n">
        <x:f>S8+S9+S36+S49+S50</x:f>
        <x:v>1018672.5</x:v>
      </x:c>
      <x:c r="T75" s="379" t="n">
        <x:f>T8+T9+T36+T49+T50</x:f>
        <x:v>1524038.125</x:v>
      </x:c>
      <x:c r="U75" s="379" t="n">
        <x:f>U8+U9+U36+U49+U50</x:f>
        <x:v>1659160</x:v>
      </x:c>
      <x:c r="V75" s="379" t="n">
        <x:f>V8+V9+V36+V49+V50</x:f>
        <x:v>2717347.5</x:v>
      </x:c>
      <x:c r="W75" s="227"/>
      <x:c r="X75" s="227"/>
      <x:c r="Y75" s="227"/>
      <x:c r="Z75" s="227"/>
    </x:row>
    <x:row r="76">
      <x:c r="A76" s="337" t="str">
        <x:v>Net cash flow</x:v>
      </x:c>
      <x:c r="B76" s="387" t="n">
        <x:f>B75-B74</x:f>
        <x:v>0</x:v>
      </x:c>
      <x:c r="C76" s="387" t="n">
        <x:f>C75-C74</x:f>
        <x:v>214300</x:v>
      </x:c>
      <x:c r="D76" s="387" t="n">
        <x:f>D75-D74</x:f>
        <x:v>-55289.19</x:v>
      </x:c>
      <x:c r="E76" s="387" t="n">
        <x:f>E75-E74</x:f>
        <x:v>-83877.81</x:v>
      </x:c>
      <x:c r="F76" s="387" t="n">
        <x:f>F75-F74</x:f>
        <x:v>27887.269999999975</x:v>
      </x:c>
      <x:c r="G76" s="387" t="n">
        <x:f>G75-G74</x:f>
        <x:v>-20739.03</x:v>
      </x:c>
      <x:c r="H76" s="387" t="n">
        <x:f>H75-H74</x:f>
        <x:v>15887.919999999998</x:v>
      </x:c>
      <x:c r="I76" s="387" t="n">
        <x:f>I75-I74</x:f>
        <x:v>219750.995</x:v>
      </x:c>
      <x:c r="J76" s="387" t="n">
        <x:f>J75-J74</x:f>
        <x:v>106470.42000000001</x:v>
      </x:c>
      <x:c r="K76" s="387" t="n">
        <x:f>K75-K74</x:f>
        <x:v>112995.95958333332</x:v>
      </x:c>
      <x:c r="L76" s="387" t="n">
        <x:f>L75-L74</x:f>
        <x:v>214608.49500000002</x:v>
      </x:c>
      <x:c r="M76" s="387" t="n">
        <x:f>M75-M74</x:f>
        <x:v>-34636.505000000005</x:v>
      </x:c>
      <x:c r="N76" s="387" t="n">
        <x:f>N75-N74</x:f>
        <x:v>127226.97</x:v>
      </x:c>
      <x:c r="O76" s="387" t="n">
        <x:f>O75-O74</x:f>
        <x:v>-15067.396666666667</x:v>
      </x:c>
      <x:c r="P76" s="387" t="n">
        <x:f>P75-P74</x:f>
        <x:v>182150.52000000002</x:v>
      </x:c>
      <x:c r="Q76" s="387" t="n">
        <x:f>Q75-Q74</x:f>
        <x:v>-49946.01333333342</x:v>
      </x:c>
      <x:c r="R76" s="387" t="n">
        <x:f>R75-R74</x:f>
        <x:v>506645.195</x:v>
      </x:c>
      <x:c r="S76" s="387" t="n">
        <x:f>S75-S74</x:f>
        <x:v>-286624.3216666668</x:v>
      </x:c>
      <x:c r="T76" s="387" t="n">
        <x:f>T75-T74</x:f>
        <x:v>625898.6075</x:v>
      </x:c>
      <x:c r="U76" s="387" t="n">
        <x:f>U75-U74</x:f>
        <x:v>-74808.42999999993</x:v>
      </x:c>
      <x:c r="V76" s="387" t="n">
        <x:f>V75-V74</x:f>
        <x:v>1846864.45125</x:v>
      </x:c>
      <x:c r="W76" s="227"/>
      <x:c r="X76" s="227"/>
      <x:c r="Y76" s="227"/>
      <x:c r="Z76" s="227"/>
    </x:row>
    <x:row r="77">
      <x:c r="A77" s="327" t="str">
        <x:v>Opening cash</x:v>
      </x:c>
      <x:c r="B77" s="379" t="n">
        <x:f>0</x:f>
        <x:v>0</x:v>
      </x:c>
      <x:c r="C77" s="379" t="n">
        <x:f>B78</x:f>
        <x:v>0</x:v>
      </x:c>
      <x:c r="D77" s="379" t="n">
        <x:f>C78</x:f>
        <x:v>214300</x:v>
      </x:c>
      <x:c r="E77" s="379" t="n">
        <x:f>D78</x:f>
        <x:v>159010.81</x:v>
      </x:c>
      <x:c r="F77" s="379" t="n">
        <x:f>E78</x:f>
        <x:v>75133</x:v>
      </x:c>
      <x:c r="G77" s="379" t="n">
        <x:f>F78</x:f>
        <x:v>103020.26999999997</x:v>
      </x:c>
      <x:c r="H77" s="379" t="n">
        <x:f>G78</x:f>
        <x:v>82281.23999999998</x:v>
      </x:c>
      <x:c r="I77" s="379" t="n">
        <x:f>H78</x:f>
        <x:v>98169.15999999997</x:v>
      </x:c>
      <x:c r="J77" s="379" t="n">
        <x:f>I78</x:f>
        <x:v>317920.15499999997</x:v>
      </x:c>
      <x:c r="K77" s="379" t="n">
        <x:f>J78</x:f>
        <x:v>424390.57499999995</x:v>
      </x:c>
      <x:c r="L77" s="379" t="n">
        <x:f>K78</x:f>
        <x:v>537386.5345833333</x:v>
      </x:c>
      <x:c r="M77" s="379" t="n">
        <x:f>L78</x:f>
        <x:v>751995.0295833333</x:v>
      </x:c>
      <x:c r="N77" s="379" t="n">
        <x:f>M78</x:f>
        <x:v>717358.5245833333</x:v>
      </x:c>
      <x:c r="O77" s="379" t="n">
        <x:f>N78</x:f>
        <x:v>844585.4945833333</x:v>
      </x:c>
      <x:c r="P77" s="379" t="n">
        <x:f>O78</x:f>
        <x:v>829518.0979166667</x:v>
      </x:c>
      <x:c r="Q77" s="379" t="n">
        <x:f>P78</x:f>
        <x:v>1011668.6179166667</x:v>
      </x:c>
      <x:c r="R77" s="379" t="n">
        <x:f>Q78</x:f>
        <x:v>961722.6045833332</x:v>
      </x:c>
      <x:c r="S77" s="379" t="n">
        <x:f>R78</x:f>
        <x:v>1468367.7995833333</x:v>
      </x:c>
      <x:c r="T77" s="379" t="n">
        <x:f>S78</x:f>
        <x:v>1181743.4779166665</x:v>
      </x:c>
      <x:c r="U77" s="379" t="n">
        <x:f>T78</x:f>
        <x:v>1807642.0854166667</x:v>
      </x:c>
      <x:c r="V77" s="379" t="n">
        <x:f>U78</x:f>
        <x:v>1732833.6554166668</x:v>
      </x:c>
      <x:c r="W77" s="227"/>
      <x:c r="X77" s="227"/>
      <x:c r="Y77" s="227"/>
      <x:c r="Z77" s="227"/>
    </x:row>
    <x:row r="78">
      <x:c r="A78" s="339" t="str">
        <x:v>Closing cash</x:v>
      </x:c>
      <x:c r="B78" s="388" t="n">
        <x:f>B77+B76</x:f>
        <x:v>0</x:v>
      </x:c>
      <x:c r="C78" s="388" t="n">
        <x:f>C77+C76</x:f>
        <x:v>214300</x:v>
      </x:c>
      <x:c r="D78" s="388" t="n">
        <x:f>D77+D76</x:f>
        <x:v>159010.81</x:v>
      </x:c>
      <x:c r="E78" s="388" t="n">
        <x:f>E77+E76</x:f>
        <x:v>75133</x:v>
      </x:c>
      <x:c r="F78" s="388" t="n">
        <x:f>F77+F76</x:f>
        <x:v>103020.26999999997</x:v>
      </x:c>
      <x:c r="G78" s="388" t="n">
        <x:f>G77+G76</x:f>
        <x:v>82281.23999999998</x:v>
      </x:c>
      <x:c r="H78" s="388" t="n">
        <x:f>H77+H76</x:f>
        <x:v>98169.15999999997</x:v>
      </x:c>
      <x:c r="I78" s="388" t="n">
        <x:f>I77+I76</x:f>
        <x:v>317920.15499999997</x:v>
      </x:c>
      <x:c r="J78" s="388" t="n">
        <x:f>J77+J76</x:f>
        <x:v>424390.57499999995</x:v>
      </x:c>
      <x:c r="K78" s="388" t="n">
        <x:f>K77+K76</x:f>
        <x:v>537386.5345833333</x:v>
      </x:c>
      <x:c r="L78" s="388" t="n">
        <x:f>L77+L76</x:f>
        <x:v>751995.0295833333</x:v>
      </x:c>
      <x:c r="M78" s="388" t="n">
        <x:f>M77+M76</x:f>
        <x:v>717358.5245833333</x:v>
      </x:c>
      <x:c r="N78" s="388" t="n">
        <x:f>N77+N76</x:f>
        <x:v>844585.4945833333</x:v>
      </x:c>
      <x:c r="O78" s="388" t="n">
        <x:f>O77+O76</x:f>
        <x:v>829518.0979166667</x:v>
      </x:c>
      <x:c r="P78" s="388" t="n">
        <x:f>P77+P76</x:f>
        <x:v>1011668.6179166667</x:v>
      </x:c>
      <x:c r="Q78" s="388" t="n">
        <x:f>Q77+Q76</x:f>
        <x:v>961722.6045833332</x:v>
      </x:c>
      <x:c r="R78" s="388" t="n">
        <x:f>R77+R76</x:f>
        <x:v>1468367.7995833333</x:v>
      </x:c>
      <x:c r="S78" s="388" t="n">
        <x:f>S77+S76</x:f>
        <x:v>1181743.4779166665</x:v>
      </x:c>
      <x:c r="T78" s="388" t="n">
        <x:f>T77+T76</x:f>
        <x:v>1807642.0854166667</x:v>
      </x:c>
      <x:c r="U78" s="388" t="n">
        <x:f>U77+U76</x:f>
        <x:v>1732833.6554166668</x:v>
      </x:c>
      <x:c r="V78" s="388" t="n">
        <x:f>V77+V76</x:f>
        <x:v>3579698.1066666665</x:v>
      </x:c>
      <x:c r="W78" s="227"/>
      <x:c r="X78" s="227"/>
      <x:c r="Y78" s="227"/>
      <x:c r="Z78" s="227"/>
    </x:row>
    <x:row r="79">
      <x:c r="A79" s="327" t="str">
        <x:v>Cumulative EBITDA</x:v>
      </x:c>
      <x:c r="B79" s="379" t="n">
        <x:f>B68</x:f>
        <x:v>0</x:v>
      </x:c>
      <x:c r="C79" s="379" t="n">
        <x:f>B79+C68</x:f>
        <x:v>-15700</x:v>
      </x:c>
      <x:c r="D79" s="379" t="n">
        <x:f>C79+D68</x:f>
        <x:v>-26164.7</x:v>
      </x:c>
      <x:c r="E79" s="379" t="n">
        <x:f>D79+E68</x:f>
        <x:v>-34635</x:v>
      </x:c>
      <x:c r="F79" s="379" t="n">
        <x:f>E79+F68</x:f>
        <x:v>-39864.4</x:v>
      </x:c>
      <x:c r="G79" s="379" t="n">
        <x:f>F79+G68</x:f>
        <x:v>-45093.8</x:v>
      </x:c>
      <x:c r="H79" s="379" t="n">
        <x:f>G79+H68</x:f>
        <x:v>27076.800000000003</x:v>
      </x:c>
      <x:c r="I79" s="379" t="n">
        <x:f>H79+I68</x:f>
        <x:v>117789.36875000001</x:v>
      </x:c>
      <x:c r="J79" s="379" t="n">
        <x:f>I79+J68</x:f>
        <x:v>240482.59375</x:v>
      </x:c>
      <x:c r="K79" s="379" t="n">
        <x:f>J79+K68</x:f>
        <x:v>440575.81875</x:v>
      </x:c>
      <x:c r="L79" s="379" t="n">
        <x:f>K79+L68</x:f>
        <x:v>563269.04375</x:v>
      </x:c>
      <x:c r="M79" s="379" t="n">
        <x:f>L79+M68</x:f>
        <x:v>685962.2687499999</x:v>
      </x:c>
      <x:c r="N79" s="379" t="n">
        <x:f>M79+N68</x:f>
        <x:v>886055.4937499999</x:v>
      </x:c>
      <x:c r="O79" s="379" t="n">
        <x:f>N79+O68</x:f>
        <x:v>1008748.7187499999</x:v>
      </x:c>
      <x:c r="P79" s="379" t="n">
        <x:f>O79+P68</x:f>
        <x:v>1245064.5687499999</x:v>
      </x:c>
      <x:c r="Q79" s="379" t="n">
        <x:f>P79+Q68</x:f>
        <x:v>1601421.2937499997</x:v>
      </x:c>
      <x:c r="R79" s="379" t="n">
        <x:f>Q79+R68</x:f>
        <x:v>2042261.9562499998</x:v>
      </x:c>
      <x:c r="S79" s="379" t="n">
        <x:f>R79+S68</x:f>
        <x:v>2547063.93125</x:v>
      </x:c>
      <x:c r="T79" s="379" t="n">
        <x:f>S79+T68</x:f>
        <x:v>3303130.5</x:v>
      </x:c>
      <x:c r="U79" s="379" t="n">
        <x:f>T79+U68</x:f>
        <x:v>4056418.6</x:v>
      </x:c>
      <x:c r="V79" s="379" t="n">
        <x:f>U79+V68</x:f>
        <x:v>5324319.825</x:v>
      </x:c>
      <x:c r="W79" s="227"/>
      <x:c r="X79" s="227"/>
      <x:c r="Y79" s="227"/>
      <x:c r="Z79" s="227"/>
    </x:row>
    <x:row r="80">
      <x:c r="A80" s="327" t="str">
        <x:v>Cumulative club contribution</x:v>
      </x:c>
      <x:c r="B80" s="379" t="n">
        <x:f>B55</x:f>
        <x:v>0</x:v>
      </x:c>
      <x:c r="C80" s="379" t="n">
        <x:f>B80+C55</x:f>
        <x:v>0</x:v>
      </x:c>
      <x:c r="D80" s="379" t="n">
        <x:f>C80+D55</x:f>
        <x:v>0</x:v>
      </x:c>
      <x:c r="E80" s="379" t="n">
        <x:f>D80+E55</x:f>
        <x:v>0</x:v>
      </x:c>
      <x:c r="F80" s="379" t="n">
        <x:f>E80+F55</x:f>
        <x:v>0</x:v>
      </x:c>
      <x:c r="G80" s="379" t="n">
        <x:f>F80+G55</x:f>
        <x:v>0</x:v>
      </x:c>
      <x:c r="H80" s="379" t="n">
        <x:f>G80+H55</x:f>
        <x:v>77400</x:v>
      </x:c>
      <x:c r="I80" s="379" t="n">
        <x:f>H80+I55</x:f>
        <x:v>77400</x:v>
      </x:c>
      <x:c r="J80" s="379" t="n">
        <x:f>I80+J55</x:f>
        <x:v>77400</x:v>
      </x:c>
      <x:c r="K80" s="379" t="n">
        <x:f>J80+K55</x:f>
        <x:v>154800</x:v>
      </x:c>
      <x:c r="L80" s="379" t="n">
        <x:f>K80+L55</x:f>
        <x:v>154800</x:v>
      </x:c>
      <x:c r="M80" s="379" t="n">
        <x:f>L80+M55</x:f>
        <x:v>154800</x:v>
      </x:c>
      <x:c r="N80" s="379" t="n">
        <x:f>M80+N55</x:f>
        <x:v>232200</x:v>
      </x:c>
      <x:c r="O80" s="379" t="n">
        <x:f>N80+O55</x:f>
        <x:v>232200</x:v>
      </x:c>
      <x:c r="P80" s="379" t="n">
        <x:f>O80+P55</x:f>
        <x:v>232200</x:v>
      </x:c>
      <x:c r="Q80" s="379" t="n">
        <x:f>P80+Q55</x:f>
        <x:v>309600</x:v>
      </x:c>
      <x:c r="R80" s="379" t="n">
        <x:f>Q80+R55</x:f>
        <x:v>309600</x:v>
      </x:c>
      <x:c r="S80" s="379" t="n">
        <x:f>R80+S55</x:f>
        <x:v>309600</x:v>
      </x:c>
      <x:c r="T80" s="379" t="n">
        <x:f>S80+T55</x:f>
        <x:v>387000</x:v>
      </x:c>
      <x:c r="U80" s="379" t="n">
        <x:f>T80+U55</x:f>
        <x:v>387000</x:v>
      </x:c>
      <x:c r="V80" s="379" t="n">
        <x:f>U80+V55</x:f>
        <x:v>387000</x:v>
      </x:c>
      <x:c r="W80" s="227"/>
      <x:c r="X80" s="227"/>
      <x:c r="Y80" s="227"/>
      <x:c r="Z80" s="227"/>
    </x:row>
    <x:row r="81">
      <x:c r="A81" s="327" t="str">
        <x:v>Required cash reserve</x:v>
      </x:c>
      <x:c r="B81" s="379" t="n">
        <x:f>B67*Assumptions!$B$18</x:f>
        <x:v>0</x:v>
      </x:c>
      <x:c r="C81" s="379" t="n">
        <x:f>C67*Assumptions!$B$18</x:f>
        <x:v>47100</x:v>
      </x:c>
      <x:c r="D81" s="379" t="n">
        <x:f>D67*Assumptions!$B$18</x:f>
        <x:v>47100</x:v>
      </x:c>
      <x:c r="E81" s="379" t="n">
        <x:f>E67*Assumptions!$B$18</x:f>
        <x:v>47100</x:v>
      </x:c>
      <x:c r="F81" s="379" t="n">
        <x:f>F67*Assumptions!$B$18</x:f>
        <x:v>47100</x:v>
      </x:c>
      <x:c r="G81" s="379" t="n">
        <x:f>G67*Assumptions!$B$18</x:f>
        <x:v>47100</x:v>
      </x:c>
      <x:c r="H81" s="379" t="n">
        <x:f>H67*Assumptions!$B$18</x:f>
        <x:v>47100</x:v>
      </x:c>
      <x:c r="I81" s="379" t="n">
        <x:f>I67*Assumptions!$B$18</x:f>
        <x:v>47100</x:v>
      </x:c>
      <x:c r="J81" s="379" t="n">
        <x:f>J67*Assumptions!$B$18</x:f>
        <x:v>47100</x:v>
      </x:c>
      <x:c r="K81" s="379" t="n">
        <x:f>K67*Assumptions!$B$18</x:f>
        <x:v>47100</x:v>
      </x:c>
      <x:c r="L81" s="379" t="n">
        <x:f>L67*Assumptions!$B$18</x:f>
        <x:v>47100</x:v>
      </x:c>
      <x:c r="M81" s="379" t="n">
        <x:f>M67*Assumptions!$B$18</x:f>
        <x:v>47100</x:v>
      </x:c>
      <x:c r="N81" s="379" t="n">
        <x:f>N67*Assumptions!$B$18</x:f>
        <x:v>47100</x:v>
      </x:c>
      <x:c r="O81" s="379" t="n">
        <x:f>O67*Assumptions!$B$18</x:f>
        <x:v>47100</x:v>
      </x:c>
      <x:c r="P81" s="379" t="n">
        <x:f>P67*Assumptions!$B$18</x:f>
        <x:v>90000</x:v>
      </x:c>
      <x:c r="Q81" s="379" t="n">
        <x:f>Q67*Assumptions!$B$18</x:f>
        <x:v>90000</x:v>
      </x:c>
      <x:c r="R81" s="379" t="n">
        <x:f>R67*Assumptions!$B$18</x:f>
        <x:v>180000</x:v>
      </x:c>
      <x:c r="S81" s="379" t="n">
        <x:f>S67*Assumptions!$B$18</x:f>
        <x:v>180000</x:v>
      </x:c>
      <x:c r="T81" s="379" t="n">
        <x:f>T67*Assumptions!$B$18</x:f>
        <x:v>330000</x:v>
      </x:c>
      <x:c r="U81" s="379" t="n">
        <x:f>U67*Assumptions!$B$18</x:f>
        <x:v>330000</x:v>
      </x:c>
      <x:c r="V81" s="379" t="n">
        <x:f>V67*Assumptions!$B$18</x:f>
        <x:v>705000</x:v>
      </x:c>
      <x:c r="W81" s="227"/>
      <x:c r="X81" s="227"/>
      <x:c r="Y81" s="227"/>
      <x:c r="Z81" s="227"/>
    </x:row>
    <x:row r="82">
      <x:c r="A82" s="327" t="str">
        <x:v>Cash above reserve</x:v>
      </x:c>
      <x:c r="B82" s="379" t="n">
        <x:f>MAX(0,B78-B81)</x:f>
        <x:v>0</x:v>
      </x:c>
      <x:c r="C82" s="379" t="n">
        <x:f>MAX(0,C78-C81)</x:f>
        <x:v>167200</x:v>
      </x:c>
      <x:c r="D82" s="379" t="n">
        <x:f>MAX(0,D78-D81)</x:f>
        <x:v>111910.81</x:v>
      </x:c>
      <x:c r="E82" s="379" t="n">
        <x:f>MAX(0,E78-E81)</x:f>
        <x:v>28033</x:v>
      </x:c>
      <x:c r="F82" s="379" t="n">
        <x:f>MAX(0,F78-F81)</x:f>
        <x:v>55920.269999999975</x:v>
      </x:c>
      <x:c r="G82" s="379" t="n">
        <x:f>MAX(0,G78-G81)</x:f>
        <x:v>35181.239999999976</x:v>
      </x:c>
      <x:c r="H82" s="379" t="n">
        <x:f>MAX(0,H78-H81)</x:f>
        <x:v>51069.159999999974</x:v>
      </x:c>
      <x:c r="I82" s="379" t="n">
        <x:f>MAX(0,I78-I81)</x:f>
        <x:v>270820.15499999997</x:v>
      </x:c>
      <x:c r="J82" s="379" t="n">
        <x:f>MAX(0,J78-J81)</x:f>
        <x:v>377290.57499999995</x:v>
      </x:c>
      <x:c r="K82" s="379" t="n">
        <x:f>MAX(0,K78-K81)</x:f>
        <x:v>490286.5345833333</x:v>
      </x:c>
      <x:c r="L82" s="379" t="n">
        <x:f>MAX(0,L78-L81)</x:f>
        <x:v>704895.0295833333</x:v>
      </x:c>
      <x:c r="M82" s="379" t="n">
        <x:f>MAX(0,M78-M81)</x:f>
        <x:v>670258.5245833333</x:v>
      </x:c>
      <x:c r="N82" s="379" t="n">
        <x:f>MAX(0,N78-N81)</x:f>
        <x:v>797485.4945833333</x:v>
      </x:c>
      <x:c r="O82" s="379" t="n">
        <x:f>MAX(0,O78-O81)</x:f>
        <x:v>782418.0979166667</x:v>
      </x:c>
      <x:c r="P82" s="379" t="n">
        <x:f>MAX(0,P78-P81)</x:f>
        <x:v>921668.6179166667</x:v>
      </x:c>
      <x:c r="Q82" s="379" t="n">
        <x:f>MAX(0,Q78-Q81)</x:f>
        <x:v>871722.6045833332</x:v>
      </x:c>
      <x:c r="R82" s="379" t="n">
        <x:f>MAX(0,R78-R81)</x:f>
        <x:v>1288367.7995833333</x:v>
      </x:c>
      <x:c r="S82" s="379" t="n">
        <x:f>MAX(0,S78-S81)</x:f>
        <x:v>1001743.4779166665</x:v>
      </x:c>
      <x:c r="T82" s="379" t="n">
        <x:f>MAX(0,T78-T81)</x:f>
        <x:v>1477642.0854166667</x:v>
      </x:c>
      <x:c r="U82" s="379" t="n">
        <x:f>MAX(0,U78-U81)</x:f>
        <x:v>1402833.6554166668</x:v>
      </x:c>
      <x:c r="V82" s="379" t="n">
        <x:f>MAX(0,V78-V81)</x:f>
        <x:v>2874698.1066666665</x:v>
      </x:c>
      <x:c r="W82" s="227"/>
      <x:c r="X82" s="227"/>
      <x:c r="Y82" s="227"/>
      <x:c r="Z82" s="227"/>
    </x:row>
    <x:row r="83">
      <x:c r="A83" s="342" t="str">
        <x:v>Indicative reinvestment capacity</x:v>
      </x:c>
      <x:c r="B83" s="390" t="n">
        <x:f>B82*Assumptions!$B$16</x:f>
        <x:v>0</x:v>
      </x:c>
      <x:c r="C83" s="390" t="n">
        <x:f>C82*Assumptions!$B$16</x:f>
        <x:v>117039.99999999999</x:v>
      </x:c>
      <x:c r="D83" s="390" t="n">
        <x:f>D82*Assumptions!$B$16</x:f>
        <x:v>78337.567</x:v>
      </x:c>
      <x:c r="E83" s="390" t="n">
        <x:f>E82*Assumptions!$B$16</x:f>
        <x:v>19623.1</x:v>
      </x:c>
      <x:c r="F83" s="390" t="n">
        <x:f>F82*Assumptions!$B$16</x:f>
        <x:v>39144.18899999998</x:v>
      </x:c>
      <x:c r="G83" s="390" t="n">
        <x:f>G82*Assumptions!$B$16</x:f>
        <x:v>24626.86799999998</x:v>
      </x:c>
      <x:c r="H83" s="390" t="n">
        <x:f>H82*Assumptions!$B$16</x:f>
        <x:v>35748.41199999998</x:v>
      </x:c>
      <x:c r="I83" s="390" t="n">
        <x:f>I82*Assumptions!$B$16</x:f>
        <x:v>189574.10849999997</x:v>
      </x:c>
      <x:c r="J83" s="390" t="n">
        <x:f>J82*Assumptions!$B$16</x:f>
        <x:v>264103.40249999997</x:v>
      </x:c>
      <x:c r="K83" s="390" t="n">
        <x:f>K82*Assumptions!$B$16</x:f>
        <x:v>343200.5742083333</x:v>
      </x:c>
      <x:c r="L83" s="390" t="n">
        <x:f>L82*Assumptions!$B$16</x:f>
        <x:v>493426.5207083333</x:v>
      </x:c>
      <x:c r="M83" s="390" t="n">
        <x:f>M82*Assumptions!$B$16</x:f>
        <x:v>469180.96720833326</x:v>
      </x:c>
      <x:c r="N83" s="390" t="n">
        <x:f>N82*Assumptions!$B$16</x:f>
        <x:v>558239.8462083333</x:v>
      </x:c>
      <x:c r="O83" s="390" t="n">
        <x:f>O82*Assumptions!$B$16</x:f>
        <x:v>547692.6685416666</x:v>
      </x:c>
      <x:c r="P83" s="390" t="n">
        <x:f>P82*Assumptions!$B$16</x:f>
        <x:v>645168.0325416666</x:v>
      </x:c>
      <x:c r="Q83" s="390" t="n">
        <x:f>Q82*Assumptions!$B$16</x:f>
        <x:v>610205.8232083332</x:v>
      </x:c>
      <x:c r="R83" s="390" t="n">
        <x:f>R82*Assumptions!$B$16</x:f>
        <x:v>901857.4597083332</x:v>
      </x:c>
      <x:c r="S83" s="390" t="n">
        <x:f>S82*Assumptions!$B$16</x:f>
        <x:v>701220.4345416665</x:v>
      </x:c>
      <x:c r="T83" s="390" t="n">
        <x:f>T82*Assumptions!$B$16</x:f>
        <x:v>1034349.4597916666</x:v>
      </x:c>
      <x:c r="U83" s="390" t="n">
        <x:f>U82*Assumptions!$B$16</x:f>
        <x:v>981983.5587916666</x:v>
      </x:c>
      <x:c r="V83" s="390" t="n">
        <x:f>V82*Assumptions!$B$16</x:f>
        <x:v>2012288.6746666664</x:v>
      </x:c>
      <x:c r="W83" s="227"/>
      <x:c r="X83" s="227"/>
      <x:c r="Y83" s="227"/>
      <x:c r="Z83" s="227"/>
    </x:row>
    <x:row r="84">
      <x:c r="A84" s="227"/>
      <x:c r="B84" s="227"/>
      <x:c r="C84" s="227"/>
      <x:c r="D84" s="227"/>
      <x:c r="E84" s="227"/>
      <x:c r="F84" s="227"/>
      <x:c r="G84" s="227"/>
      <x:c r="H84" s="227"/>
      <x:c r="I84" s="227"/>
      <x:c r="J84" s="227"/>
      <x:c r="K84" s="227"/>
      <x:c r="L84" s="227"/>
      <x:c r="M84" s="227"/>
      <x:c r="N84" s="227"/>
      <x:c r="O84" s="227"/>
      <x:c r="P84" s="227"/>
      <x:c r="Q84" s="227"/>
      <x:c r="R84" s="227"/>
      <x:c r="S84" s="227"/>
      <x:c r="T84" s="227"/>
      <x:c r="U84" s="227"/>
      <x:c r="V84" s="227"/>
      <x:c r="W84" s="227"/>
      <x:c r="X84" s="227"/>
      <x:c r="Y84" s="227"/>
      <x:c r="Z84" s="227"/>
    </x:row>
    <x:row r="85">
      <x:c r="A85" s="227"/>
      <x:c r="B85" s="227"/>
      <x:c r="C85" s="227"/>
      <x:c r="D85" s="227"/>
      <x:c r="E85" s="227"/>
      <x:c r="F85" s="227"/>
      <x:c r="G85" s="227"/>
      <x:c r="H85" s="227"/>
      <x:c r="I85" s="227"/>
      <x:c r="J85" s="227"/>
      <x:c r="K85" s="227"/>
      <x:c r="L85" s="227"/>
      <x:c r="M85" s="227"/>
      <x:c r="N85" s="227"/>
      <x:c r="O85" s="227"/>
      <x:c r="P85" s="227"/>
      <x:c r="Q85" s="227"/>
      <x:c r="R85" s="227"/>
      <x:c r="S85" s="227"/>
      <x:c r="T85" s="227"/>
      <x:c r="U85" s="227"/>
      <x:c r="V85" s="227"/>
      <x:c r="W85" s="227"/>
      <x:c r="X85" s="227"/>
      <x:c r="Y85" s="227"/>
      <x:c r="Z85" s="227"/>
    </x:row>
    <x:row r="86">
      <x:c r="A86" s="227"/>
      <x:c r="B86" s="227"/>
      <x:c r="C86" s="227"/>
      <x:c r="D86" s="227"/>
      <x:c r="E86" s="227"/>
      <x:c r="F86" s="227"/>
      <x:c r="G86" s="227"/>
      <x:c r="H86" s="227"/>
      <x:c r="I86" s="227"/>
      <x:c r="J86" s="227"/>
      <x:c r="K86" s="227"/>
      <x:c r="L86" s="227"/>
      <x:c r="M86" s="227"/>
      <x:c r="N86" s="227"/>
      <x:c r="O86" s="227"/>
      <x:c r="P86" s="227"/>
      <x:c r="Q86" s="227"/>
      <x:c r="R86" s="227"/>
      <x:c r="S86" s="227"/>
      <x:c r="T86" s="227"/>
      <x:c r="U86" s="227"/>
      <x:c r="V86" s="227"/>
      <x:c r="W86" s="227"/>
      <x:c r="X86" s="227"/>
      <x:c r="Y86" s="227"/>
      <x:c r="Z86" s="227"/>
    </x:row>
    <x:row r="87">
      <x:c r="A87" s="227"/>
      <x:c r="B87" s="227"/>
      <x:c r="C87" s="227"/>
      <x:c r="D87" s="227"/>
      <x:c r="E87" s="227"/>
      <x:c r="F87" s="227"/>
      <x:c r="G87" s="227"/>
      <x:c r="H87" s="227"/>
      <x:c r="I87" s="227"/>
      <x:c r="J87" s="227"/>
      <x:c r="K87" s="227"/>
      <x:c r="L87" s="227"/>
      <x:c r="M87" s="227"/>
      <x:c r="N87" s="227"/>
      <x:c r="O87" s="227"/>
      <x:c r="P87" s="227"/>
      <x:c r="Q87" s="227"/>
      <x:c r="R87" s="227"/>
      <x:c r="S87" s="227"/>
      <x:c r="T87" s="227"/>
      <x:c r="U87" s="227"/>
      <x:c r="V87" s="227"/>
      <x:c r="W87" s="227"/>
      <x:c r="X87" s="227"/>
      <x:c r="Y87" s="227"/>
      <x:c r="Z87" s="227"/>
    </x:row>
    <x:row r="88">
      <x:c r="A88" s="227"/>
      <x:c r="B88" s="227"/>
      <x:c r="C88" s="227"/>
      <x:c r="D88" s="227"/>
      <x:c r="E88" s="227"/>
      <x:c r="F88" s="227"/>
      <x:c r="G88" s="227"/>
      <x:c r="H88" s="227"/>
      <x:c r="I88" s="227"/>
      <x:c r="J88" s="227"/>
      <x:c r="K88" s="227"/>
      <x:c r="L88" s="227"/>
      <x:c r="M88" s="227"/>
      <x:c r="N88" s="227"/>
      <x:c r="O88" s="227"/>
      <x:c r="P88" s="227"/>
      <x:c r="Q88" s="227"/>
      <x:c r="R88" s="227"/>
      <x:c r="S88" s="227"/>
      <x:c r="T88" s="227"/>
      <x:c r="U88" s="227"/>
      <x:c r="V88" s="227"/>
      <x:c r="W88" s="227"/>
      <x:c r="X88" s="227"/>
      <x:c r="Y88" s="227"/>
      <x:c r="Z88" s="227"/>
    </x:row>
    <x:row r="89">
      <x:c r="A89" s="227"/>
      <x:c r="B89" s="227"/>
      <x:c r="C89" s="227"/>
      <x:c r="D89" s="227"/>
      <x:c r="E89" s="227"/>
      <x:c r="F89" s="227"/>
      <x:c r="G89" s="227"/>
      <x:c r="H89" s="227"/>
      <x:c r="I89" s="227"/>
      <x:c r="J89" s="227"/>
      <x:c r="K89" s="227"/>
      <x:c r="L89" s="227"/>
      <x:c r="M89" s="227"/>
      <x:c r="N89" s="227"/>
      <x:c r="O89" s="227"/>
      <x:c r="P89" s="227"/>
      <x:c r="Q89" s="227"/>
      <x:c r="R89" s="227"/>
      <x:c r="S89" s="227"/>
      <x:c r="T89" s="227"/>
      <x:c r="U89" s="227"/>
      <x:c r="V89" s="227"/>
      <x:c r="W89" s="227"/>
      <x:c r="X89" s="227"/>
      <x:c r="Y89" s="227"/>
      <x:c r="Z89" s="227"/>
    </x:row>
    <x:row r="90">
      <x:c r="A90" s="227"/>
      <x:c r="B90" s="227"/>
      <x:c r="C90" s="227"/>
      <x:c r="D90" s="227"/>
      <x:c r="E90" s="227"/>
      <x:c r="F90" s="227"/>
      <x:c r="G90" s="227"/>
      <x:c r="H90" s="227"/>
      <x:c r="I90" s="227"/>
      <x:c r="J90" s="227"/>
      <x:c r="K90" s="227"/>
      <x:c r="L90" s="227"/>
      <x:c r="M90" s="227"/>
      <x:c r="N90" s="227"/>
      <x:c r="O90" s="227"/>
      <x:c r="P90" s="227"/>
      <x:c r="Q90" s="227"/>
      <x:c r="R90" s="227"/>
      <x:c r="S90" s="227"/>
      <x:c r="T90" s="227"/>
      <x:c r="U90" s="227"/>
      <x:c r="V90" s="227"/>
      <x:c r="W90" s="227"/>
      <x:c r="X90" s="227"/>
      <x:c r="Y90" s="227"/>
      <x:c r="Z90" s="227"/>
    </x:row>
    <x:row r="91">
      <x:c r="A91" s="227"/>
      <x:c r="B91" s="227"/>
      <x:c r="C91" s="227"/>
      <x:c r="D91" s="227"/>
      <x:c r="E91" s="227"/>
      <x:c r="F91" s="227"/>
      <x:c r="G91" s="227"/>
      <x:c r="H91" s="227"/>
      <x:c r="I91" s="227"/>
      <x:c r="J91" s="227"/>
      <x:c r="K91" s="227"/>
      <x:c r="L91" s="227"/>
      <x:c r="M91" s="227"/>
      <x:c r="N91" s="227"/>
      <x:c r="O91" s="227"/>
      <x:c r="P91" s="227"/>
      <x:c r="Q91" s="227"/>
      <x:c r="R91" s="227"/>
      <x:c r="S91" s="227"/>
      <x:c r="T91" s="227"/>
      <x:c r="U91" s="227"/>
      <x:c r="V91" s="227"/>
      <x:c r="W91" s="227"/>
      <x:c r="X91" s="227"/>
      <x:c r="Y91" s="227"/>
      <x:c r="Z91" s="227"/>
    </x:row>
    <x:row r="92">
      <x:c r="A92" s="227"/>
      <x:c r="B92" s="227"/>
      <x:c r="C92" s="227"/>
      <x:c r="D92" s="227"/>
      <x:c r="E92" s="227"/>
      <x:c r="F92" s="227"/>
      <x:c r="G92" s="227"/>
      <x:c r="H92" s="227"/>
      <x:c r="I92" s="227"/>
      <x:c r="J92" s="227"/>
      <x:c r="K92" s="227"/>
      <x:c r="L92" s="227"/>
      <x:c r="M92" s="227"/>
      <x:c r="N92" s="227"/>
      <x:c r="O92" s="227"/>
      <x:c r="P92" s="227"/>
      <x:c r="Q92" s="227"/>
      <x:c r="R92" s="227"/>
      <x:c r="S92" s="227"/>
      <x:c r="T92" s="227"/>
      <x:c r="U92" s="227"/>
      <x:c r="V92" s="227"/>
      <x:c r="W92" s="227"/>
      <x:c r="X92" s="227"/>
      <x:c r="Y92" s="227"/>
      <x:c r="Z92" s="227"/>
    </x:row>
    <x:row r="93">
      <x:c r="A93" s="227"/>
      <x:c r="B93" s="227"/>
      <x:c r="C93" s="227"/>
      <x:c r="D93" s="227"/>
      <x:c r="E93" s="227"/>
      <x:c r="F93" s="227"/>
      <x:c r="G93" s="227"/>
      <x:c r="H93" s="227"/>
      <x:c r="I93" s="227"/>
      <x:c r="J93" s="227"/>
      <x:c r="K93" s="227"/>
      <x:c r="L93" s="227"/>
      <x:c r="M93" s="227"/>
      <x:c r="N93" s="227"/>
      <x:c r="O93" s="227"/>
      <x:c r="P93" s="227"/>
      <x:c r="Q93" s="227"/>
      <x:c r="R93" s="227"/>
      <x:c r="S93" s="227"/>
      <x:c r="T93" s="227"/>
      <x:c r="U93" s="227"/>
      <x:c r="V93" s="227"/>
      <x:c r="W93" s="227"/>
      <x:c r="X93" s="227"/>
      <x:c r="Y93" s="227"/>
      <x:c r="Z93" s="227"/>
    </x:row>
    <x:row r="94">
      <x:c r="A94" s="227"/>
      <x:c r="B94" s="227"/>
      <x:c r="C94" s="227"/>
      <x:c r="D94" s="227"/>
      <x:c r="E94" s="227"/>
      <x:c r="F94" s="227"/>
      <x:c r="G94" s="227"/>
      <x:c r="H94" s="227"/>
      <x:c r="I94" s="227"/>
      <x:c r="J94" s="227"/>
      <x:c r="K94" s="227"/>
      <x:c r="L94" s="227"/>
      <x:c r="M94" s="227"/>
      <x:c r="N94" s="227"/>
      <x:c r="O94" s="227"/>
      <x:c r="P94" s="227"/>
      <x:c r="Q94" s="227"/>
      <x:c r="R94" s="227"/>
      <x:c r="S94" s="227"/>
      <x:c r="T94" s="227"/>
      <x:c r="U94" s="227"/>
      <x:c r="V94" s="227"/>
      <x:c r="W94" s="227"/>
      <x:c r="X94" s="227"/>
      <x:c r="Y94" s="227"/>
      <x:c r="Z94" s="227"/>
    </x:row>
    <x:row r="95">
      <x:c r="A95" s="227"/>
      <x:c r="B95" s="227"/>
      <x:c r="C95" s="227"/>
      <x:c r="D95" s="227"/>
      <x:c r="E95" s="227"/>
      <x:c r="F95" s="227"/>
      <x:c r="G95" s="227"/>
      <x:c r="H95" s="227"/>
      <x:c r="I95" s="227"/>
      <x:c r="J95" s="227"/>
      <x:c r="K95" s="227"/>
      <x:c r="L95" s="227"/>
      <x:c r="M95" s="227"/>
      <x:c r="N95" s="227"/>
      <x:c r="O95" s="227"/>
      <x:c r="P95" s="227"/>
      <x:c r="Q95" s="227"/>
      <x:c r="R95" s="227"/>
      <x:c r="S95" s="227"/>
      <x:c r="T95" s="227"/>
      <x:c r="U95" s="227"/>
      <x:c r="V95" s="227"/>
      <x:c r="W95" s="227"/>
      <x:c r="X95" s="227"/>
      <x:c r="Y95" s="227"/>
      <x:c r="Z95" s="227"/>
    </x:row>
    <x:row r="96">
      <x:c r="A96" s="227"/>
      <x:c r="B96" s="227"/>
      <x:c r="C96" s="227"/>
      <x:c r="D96" s="227"/>
      <x:c r="E96" s="227"/>
      <x:c r="F96" s="227"/>
      <x:c r="G96" s="227"/>
      <x:c r="H96" s="227"/>
      <x:c r="I96" s="227"/>
      <x:c r="J96" s="227"/>
      <x:c r="K96" s="227"/>
      <x:c r="L96" s="227"/>
      <x:c r="M96" s="227"/>
      <x:c r="N96" s="227"/>
      <x:c r="O96" s="227"/>
      <x:c r="P96" s="227"/>
      <x:c r="Q96" s="227"/>
      <x:c r="R96" s="227"/>
      <x:c r="S96" s="227"/>
      <x:c r="T96" s="227"/>
      <x:c r="U96" s="227"/>
      <x:c r="V96" s="227"/>
      <x:c r="W96" s="227"/>
      <x:c r="X96" s="227"/>
      <x:c r="Y96" s="227"/>
      <x:c r="Z96" s="227"/>
    </x:row>
    <x:row r="97">
      <x:c r="A97" s="227"/>
      <x:c r="B97" s="227"/>
      <x:c r="C97" s="227"/>
      <x:c r="D97" s="227"/>
      <x:c r="E97" s="227"/>
      <x:c r="F97" s="227"/>
      <x:c r="G97" s="227"/>
      <x:c r="H97" s="227"/>
      <x:c r="I97" s="227"/>
      <x:c r="J97" s="227"/>
      <x:c r="K97" s="227"/>
      <x:c r="L97" s="227"/>
      <x:c r="M97" s="227"/>
      <x:c r="N97" s="227"/>
      <x:c r="O97" s="227"/>
      <x:c r="P97" s="227"/>
      <x:c r="Q97" s="227"/>
      <x:c r="R97" s="227"/>
      <x:c r="S97" s="227"/>
      <x:c r="T97" s="227"/>
      <x:c r="U97" s="227"/>
      <x:c r="V97" s="227"/>
      <x:c r="W97" s="227"/>
      <x:c r="X97" s="227"/>
      <x:c r="Y97" s="227"/>
      <x:c r="Z97" s="227"/>
    </x:row>
    <x:row r="98">
      <x:c r="A98" s="227"/>
      <x:c r="B98" s="227"/>
      <x:c r="C98" s="227"/>
      <x:c r="D98" s="227"/>
      <x:c r="E98" s="227"/>
      <x:c r="F98" s="227"/>
      <x:c r="G98" s="227"/>
      <x:c r="H98" s="227"/>
      <x:c r="I98" s="227"/>
      <x:c r="J98" s="227"/>
      <x:c r="K98" s="227"/>
      <x:c r="L98" s="227"/>
      <x:c r="M98" s="227"/>
      <x:c r="N98" s="227"/>
      <x:c r="O98" s="227"/>
      <x:c r="P98" s="227"/>
      <x:c r="Q98" s="227"/>
      <x:c r="R98" s="227"/>
      <x:c r="S98" s="227"/>
      <x:c r="T98" s="227"/>
      <x:c r="U98" s="227"/>
      <x:c r="V98" s="227"/>
      <x:c r="W98" s="227"/>
      <x:c r="X98" s="227"/>
      <x:c r="Y98" s="227"/>
      <x:c r="Z98" s="227"/>
    </x:row>
    <x:row r="99">
      <x:c r="A99" s="227"/>
      <x:c r="B99" s="227"/>
      <x:c r="C99" s="227"/>
      <x:c r="D99" s="227"/>
      <x:c r="E99" s="227"/>
      <x:c r="F99" s="227"/>
      <x:c r="G99" s="227"/>
      <x:c r="H99" s="227"/>
      <x:c r="I99" s="227"/>
      <x:c r="J99" s="227"/>
      <x:c r="K99" s="227"/>
      <x:c r="L99" s="227"/>
      <x:c r="M99" s="227"/>
      <x:c r="N99" s="227"/>
      <x:c r="O99" s="227"/>
      <x:c r="P99" s="227"/>
      <x:c r="Q99" s="227"/>
      <x:c r="R99" s="227"/>
      <x:c r="S99" s="227"/>
      <x:c r="T99" s="227"/>
      <x:c r="U99" s="227"/>
      <x:c r="V99" s="227"/>
      <x:c r="W99" s="227"/>
      <x:c r="X99" s="227"/>
      <x:c r="Y99" s="227"/>
      <x:c r="Z99" s="227"/>
    </x:row>
    <x:row r="100">
      <x:c r="A100" s="227"/>
      <x:c r="B100" s="227"/>
      <x:c r="C100" s="227"/>
      <x:c r="D100" s="227"/>
      <x:c r="E100" s="227"/>
      <x:c r="F100" s="227"/>
      <x:c r="G100" s="227"/>
      <x:c r="H100" s="227"/>
      <x:c r="I100" s="227"/>
      <x:c r="J100" s="227"/>
      <x:c r="K100" s="227"/>
      <x:c r="L100" s="227"/>
      <x:c r="M100" s="227"/>
      <x:c r="N100" s="227"/>
      <x:c r="O100" s="227"/>
      <x:c r="P100" s="227"/>
      <x:c r="Q100" s="227"/>
      <x:c r="R100" s="227"/>
      <x:c r="S100" s="227"/>
      <x:c r="T100" s="227"/>
      <x:c r="U100" s="227"/>
      <x:c r="V100" s="227"/>
      <x:c r="W100" s="227"/>
      <x:c r="X100" s="227"/>
      <x:c r="Y100" s="227"/>
      <x:c r="Z100" s="227"/>
    </x:row>
  </x:sheetData>
  <x:mergeCells>
    <x:mergeCell ref="A1:V1"/>
    <x:mergeCell ref="A2:V2"/>
    <x:mergeCell ref="A7:V7"/>
    <x:mergeCell ref="A21:V21"/>
    <x:mergeCell ref="A44:V44"/>
    <x:mergeCell ref="A62:V62"/>
    <x:mergeCell ref="X2:Z2"/>
  </x:mergeCells>
  <x:conditionalFormatting sqref="B78:V78">
    <x:cfRule type="cellIs" dxfId="0" priority="1" operator="lessThan">
      <x:formula>0</x:formula>
    </x:cfRule>
  </x:conditionalFormatting>
  <x:conditionalFormatting sqref="B33:V33">
    <x:cfRule type="cellIs" dxfId="1" priority="2" operator="lessThan">
      <x:formula>1000</x:formula>
    </x:cfRule>
  </x:conditionalFormatting>
  <x:pageMargins left="0.7" right="0.7" top="0.75" bottom="0.75" header="0.3" footer="0.3"/>
</x:worksheet>
</file>

<file path=xl/worksheets/sheet6.xml><?xml version="1.0" encoding="utf-8"?>
<x:worksheet xmlns:x="http://schemas.openxmlformats.org/spreadsheetml/2006/main">
  <x:sheetFormatPr defaultRowHeight="15"/>
  <x:cols>
    <x:col min="1" max="1" width="38"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12" hidden="0" customWidth="1"/>
    <x:col min="16" max="16" width="12" hidden="0" customWidth="1"/>
    <x:col min="17" max="17" width="12" hidden="0" customWidth="1"/>
    <x:col min="18" max="18" width="12" hidden="0" customWidth="1"/>
    <x:col min="19" max="19" width="12" hidden="0" customWidth="1"/>
    <x:col min="20" max="20" width="12" hidden="0" customWidth="1"/>
    <x:col min="21" max="21" width="12" hidden="0" customWidth="1"/>
    <x:col min="22" max="22" width="12" hidden="0" customWidth="1"/>
    <x:col min="24" max="24" width="26" hidden="0" customWidth="1"/>
    <x:col min="25" max="25" width="18" hidden="0" customWidth="1"/>
  </x:cols>
  <x:sheetData>
    <x:row r="1" ht="32" customHeight="1">
      <x:c r="A1" s="284" t="str">
        <x:v>SCENARIO 2 — INSTITUTIONAL ACCELERATION</x:v>
      </x:c>
      <x:c r="B1" s="284" t="str">
        <x:v>SCENARIO 2 — INSTITUTIONAL ACCELERATION</x:v>
      </x:c>
      <x:c r="C1" s="284" t="str">
        <x:v>SCENARIO 2 — INSTITUTIONAL ACCELERATION</x:v>
      </x:c>
      <x:c r="D1" s="284" t="str">
        <x:v>SCENARIO 2 — INSTITUTIONAL ACCELERATION</x:v>
      </x:c>
      <x:c r="E1" s="284" t="str">
        <x:v>SCENARIO 2 — INSTITUTIONAL ACCELERATION</x:v>
      </x:c>
      <x:c r="F1" s="284" t="str">
        <x:v>SCENARIO 2 — INSTITUTIONAL ACCELERATION</x:v>
      </x:c>
      <x:c r="G1" s="284" t="str">
        <x:v>SCENARIO 2 — INSTITUTIONAL ACCELERATION</x:v>
      </x:c>
      <x:c r="H1" s="284" t="str">
        <x:v>SCENARIO 2 — INSTITUTIONAL ACCELERATION</x:v>
      </x:c>
      <x:c r="I1" s="284" t="str">
        <x:v>SCENARIO 2 — INSTITUTIONAL ACCELERATION</x:v>
      </x:c>
      <x:c r="J1" s="284" t="str">
        <x:v>SCENARIO 2 — INSTITUTIONAL ACCELERATION</x:v>
      </x:c>
      <x:c r="K1" s="284" t="str">
        <x:v>SCENARIO 2 — INSTITUTIONAL ACCELERATION</x:v>
      </x:c>
      <x:c r="L1" s="284" t="str">
        <x:v>SCENARIO 2 — INSTITUTIONAL ACCELERATION</x:v>
      </x:c>
      <x:c r="M1" s="284" t="str">
        <x:v>SCENARIO 2 — INSTITUTIONAL ACCELERATION</x:v>
      </x:c>
      <x:c r="N1" s="284" t="str">
        <x:v>SCENARIO 2 — INSTITUTIONAL ACCELERATION</x:v>
      </x:c>
      <x:c r="O1" s="284" t="str">
        <x:v>SCENARIO 2 — INSTITUTIONAL ACCELERATION</x:v>
      </x:c>
      <x:c r="P1" s="284" t="str">
        <x:v>SCENARIO 2 — INSTITUTIONAL ACCELERATION</x:v>
      </x:c>
      <x:c r="Q1" s="284" t="str">
        <x:v>SCENARIO 2 — INSTITUTIONAL ACCELERATION</x:v>
      </x:c>
      <x:c r="R1" s="284" t="str">
        <x:v>SCENARIO 2 — INSTITUTIONAL ACCELERATION</x:v>
      </x:c>
      <x:c r="S1" s="284" t="str">
        <x:v>SCENARIO 2 — INSTITUTIONAL ACCELERATION</x:v>
      </x:c>
      <x:c r="T1" s="284" t="str">
        <x:v>SCENARIO 2 — INSTITUTIONAL ACCELERATION</x:v>
      </x:c>
      <x:c r="U1" s="284" t="str">
        <x:v>SCENARIO 2 — INSTITUTIONAL ACCELERATION</x:v>
      </x:c>
      <x:c r="V1" s="284" t="str">
        <x:v>SCENARIO 2 — INSTITUTIONAL ACCELERATION</x:v>
      </x:c>
      <x:c r="W1" s="227"/>
      <x:c r="X1" s="227"/>
      <x:c r="Y1" s="227"/>
      <x:c r="Z1" s="227"/>
    </x:row>
    <x:row r="2" ht="24" customHeight="1">
      <x:c r="A2" s="285" t="str">
        <x:v>Same launch base + €4.0M in Mar-27 · 300-machine initial programme + 700 follow-on</x:v>
      </x:c>
      <x:c r="B2" s="285" t="str">
        <x:v>Same launch base + €4.0M in Mar-27 · 300-machine initial programme + 700 follow-on</x:v>
      </x:c>
      <x:c r="C2" s="285" t="str">
        <x:v>Same launch base + €4.0M in Mar-27 · 300-machine initial programme + 700 follow-on</x:v>
      </x:c>
      <x:c r="D2" s="285" t="str">
        <x:v>Same launch base + €4.0M in Mar-27 · 300-machine initial programme + 700 follow-on</x:v>
      </x:c>
      <x:c r="E2" s="285" t="str">
        <x:v>Same launch base + €4.0M in Mar-27 · 300-machine initial programme + 700 follow-on</x:v>
      </x:c>
      <x:c r="F2" s="285" t="str">
        <x:v>Same launch base + €4.0M in Mar-27 · 300-machine initial programme + 700 follow-on</x:v>
      </x:c>
      <x:c r="G2" s="285" t="str">
        <x:v>Same launch base + €4.0M in Mar-27 · 300-machine initial programme + 700 follow-on</x:v>
      </x:c>
      <x:c r="H2" s="285" t="str">
        <x:v>Same launch base + €4.0M in Mar-27 · 300-machine initial programme + 700 follow-on</x:v>
      </x:c>
      <x:c r="I2" s="285" t="str">
        <x:v>Same launch base + €4.0M in Mar-27 · 300-machine initial programme + 700 follow-on</x:v>
      </x:c>
      <x:c r="J2" s="285" t="str">
        <x:v>Same launch base + €4.0M in Mar-27 · 300-machine initial programme + 700 follow-on</x:v>
      </x:c>
      <x:c r="K2" s="285" t="str">
        <x:v>Same launch base + €4.0M in Mar-27 · 300-machine initial programme + 700 follow-on</x:v>
      </x:c>
      <x:c r="L2" s="285" t="str">
        <x:v>Same launch base + €4.0M in Mar-27 · 300-machine initial programme + 700 follow-on</x:v>
      </x:c>
      <x:c r="M2" s="285" t="str">
        <x:v>Same launch base + €4.0M in Mar-27 · 300-machine initial programme + 700 follow-on</x:v>
      </x:c>
      <x:c r="N2" s="285" t="str">
        <x:v>Same launch base + €4.0M in Mar-27 · 300-machine initial programme + 700 follow-on</x:v>
      </x:c>
      <x:c r="O2" s="285" t="str">
        <x:v>Same launch base + €4.0M in Mar-27 · 300-machine initial programme + 700 follow-on</x:v>
      </x:c>
      <x:c r="P2" s="285" t="str">
        <x:v>Same launch base + €4.0M in Mar-27 · 300-machine initial programme + 700 follow-on</x:v>
      </x:c>
      <x:c r="Q2" s="285" t="str">
        <x:v>Same launch base + €4.0M in Mar-27 · 300-machine initial programme + 700 follow-on</x:v>
      </x:c>
      <x:c r="R2" s="285" t="str">
        <x:v>Same launch base + €4.0M in Mar-27 · 300-machine initial programme + 700 follow-on</x:v>
      </x:c>
      <x:c r="S2" s="285" t="str">
        <x:v>Same launch base + €4.0M in Mar-27 · 300-machine initial programme + 700 follow-on</x:v>
      </x:c>
      <x:c r="T2" s="285" t="str">
        <x:v>Same launch base + €4.0M in Mar-27 · 300-machine initial programme + 700 follow-on</x:v>
      </x:c>
      <x:c r="U2" s="285" t="str">
        <x:v>Same launch base + €4.0M in Mar-27 · 300-machine initial programme + 700 follow-on</x:v>
      </x:c>
      <x:c r="V2" s="285" t="str">
        <x:v>Same launch base + €4.0M in Mar-27 · 300-machine initial programme + 700 follow-on</x:v>
      </x:c>
      <x:c r="W2" s="227"/>
      <x:c r="X2" s="370" t="str">
        <x:v>Scenario summary</x:v>
      </x:c>
      <x:c r="Y2" s="370"/>
      <x:c r="Z2" s="370"/>
    </x:row>
    <x:row r="3">
      <x:c r="A3" s="371"/>
      <x:c r="B3" s="371"/>
      <x:c r="C3" s="371"/>
      <x:c r="D3" s="371"/>
      <x:c r="E3" s="371"/>
      <x:c r="F3" s="371"/>
      <x:c r="G3" s="371"/>
      <x:c r="H3" s="371"/>
      <x:c r="I3" s="371"/>
      <x:c r="J3" s="371"/>
      <x:c r="K3" s="371"/>
      <x:c r="L3" s="371"/>
      <x:c r="M3" s="371"/>
      <x:c r="N3" s="371"/>
      <x:c r="O3" s="371"/>
      <x:c r="P3" s="371"/>
      <x:c r="Q3" s="371"/>
      <x:c r="R3" s="371"/>
      <x:c r="S3" s="371"/>
      <x:c r="T3" s="371"/>
      <x:c r="U3" s="371"/>
      <x:c r="V3" s="371"/>
      <x:c r="W3" s="227"/>
      <x:c r="X3" s="372" t="str">
        <x:v>Total gross revenue</x:v>
      </x:c>
      <x:c r="Y3" s="373" t="n">
        <x:f>SUM(B63:V63)</x:f>
        <x:v>41132173.125</x:v>
      </x:c>
      <x:c r="Z3" s="227"/>
    </x:row>
    <x:row r="4">
      <x:c r="A4" s="374" t="str">
        <x:v>Month</x:v>
      </x:c>
      <x:c r="B4" s="375" t="n">
        <x:v>46235</x:v>
      </x:c>
      <x:c r="C4" s="375" t="n">
        <x:v>46266</x:v>
      </x:c>
      <x:c r="D4" s="375" t="n">
        <x:v>46296</x:v>
      </x:c>
      <x:c r="E4" s="375" t="n">
        <x:v>46327</x:v>
      </x:c>
      <x:c r="F4" s="375" t="n">
        <x:v>46357</x:v>
      </x:c>
      <x:c r="G4" s="375" t="n">
        <x:v>46388</x:v>
      </x:c>
      <x:c r="H4" s="375" t="n">
        <x:v>46419</x:v>
      </x:c>
      <x:c r="I4" s="375" t="n">
        <x:v>46447</x:v>
      </x:c>
      <x:c r="J4" s="375" t="n">
        <x:v>46478</x:v>
      </x:c>
      <x:c r="K4" s="375" t="n">
        <x:v>46508</x:v>
      </x:c>
      <x:c r="L4" s="375" t="n">
        <x:v>46539</x:v>
      </x:c>
      <x:c r="M4" s="375" t="n">
        <x:v>46569</x:v>
      </x:c>
      <x:c r="N4" s="375" t="n">
        <x:v>46600</x:v>
      </x:c>
      <x:c r="O4" s="375" t="n">
        <x:v>46631</x:v>
      </x:c>
      <x:c r="P4" s="375" t="n">
        <x:v>46661</x:v>
      </x:c>
      <x:c r="Q4" s="375" t="n">
        <x:v>46692</x:v>
      </x:c>
      <x:c r="R4" s="375" t="n">
        <x:v>46722</x:v>
      </x:c>
      <x:c r="S4" s="375" t="n">
        <x:v>46753</x:v>
      </x:c>
      <x:c r="T4" s="375" t="n">
        <x:v>46784</x:v>
      </x:c>
      <x:c r="U4" s="375" t="n">
        <x:v>46813</x:v>
      </x:c>
      <x:c r="V4" s="375" t="n">
        <x:v>46844</x:v>
      </x:c>
      <x:c r="W4" s="227"/>
      <x:c r="X4" s="376" t="str">
        <x:v>Net revenue retained</x:v>
      </x:c>
      <x:c r="Y4" s="377" t="n">
        <x:f>SUM(B64:V64)</x:f>
        <x:v>40732173.125</x:v>
      </x:c>
      <x:c r="Z4" s="227"/>
    </x:row>
    <x:row r="5">
      <x:c r="A5" s="374" t="str">
        <x:v>Month #</x:v>
      </x:c>
      <x:c r="B5" s="374" t="n">
        <x:v>1</x:v>
      </x:c>
      <x:c r="C5" s="374" t="n">
        <x:v>2</x:v>
      </x:c>
      <x:c r="D5" s="374" t="n">
        <x:v>3</x:v>
      </x:c>
      <x:c r="E5" s="374" t="n">
        <x:v>4</x:v>
      </x:c>
      <x:c r="F5" s="374" t="n">
        <x:v>5</x:v>
      </x:c>
      <x:c r="G5" s="374" t="n">
        <x:v>6</x:v>
      </x:c>
      <x:c r="H5" s="374" t="n">
        <x:v>7</x:v>
      </x:c>
      <x:c r="I5" s="374" t="n">
        <x:v>8</x:v>
      </x:c>
      <x:c r="J5" s="374" t="n">
        <x:v>9</x:v>
      </x:c>
      <x:c r="K5" s="374" t="n">
        <x:v>10</x:v>
      </x:c>
      <x:c r="L5" s="374" t="n">
        <x:v>11</x:v>
      </x:c>
      <x:c r="M5" s="374" t="n">
        <x:v>12</x:v>
      </x:c>
      <x:c r="N5" s="374" t="n">
        <x:v>13</x:v>
      </x:c>
      <x:c r="O5" s="374" t="n">
        <x:v>14</x:v>
      </x:c>
      <x:c r="P5" s="374" t="n">
        <x:v>15</x:v>
      </x:c>
      <x:c r="Q5" s="374" t="n">
        <x:v>16</x:v>
      </x:c>
      <x:c r="R5" s="374" t="n">
        <x:v>17</x:v>
      </x:c>
      <x:c r="S5" s="374" t="n">
        <x:v>18</x:v>
      </x:c>
      <x:c r="T5" s="374" t="n">
        <x:v>19</x:v>
      </x:c>
      <x:c r="U5" s="374" t="n">
        <x:v>20</x:v>
      </x:c>
      <x:c r="V5" s="374" t="n">
        <x:v>21</x:v>
      </x:c>
      <x:c r="W5" s="227"/>
      <x:c r="X5" s="376" t="str">
        <x:v>Total EBITDA</x:v>
      </x:c>
      <x:c r="Y5" s="377" t="n">
        <x:f>SUM(B68:V68)</x:f>
        <x:v>19653967.340436418</x:v>
      </x:c>
      <x:c r="Z5" s="227"/>
    </x:row>
    <x:row r="6">
      <x:c r="A6" s="371"/>
      <x:c r="B6" s="371"/>
      <x:c r="C6" s="371"/>
      <x:c r="D6" s="371"/>
      <x:c r="E6" s="371"/>
      <x:c r="F6" s="371"/>
      <x:c r="G6" s="371"/>
      <x:c r="H6" s="371"/>
      <x:c r="I6" s="371"/>
      <x:c r="J6" s="371"/>
      <x:c r="K6" s="371"/>
      <x:c r="L6" s="371"/>
      <x:c r="M6" s="371"/>
      <x:c r="N6" s="371"/>
      <x:c r="O6" s="371"/>
      <x:c r="P6" s="371"/>
      <x:c r="Q6" s="371"/>
      <x:c r="R6" s="371"/>
      <x:c r="S6" s="371"/>
      <x:c r="T6" s="371"/>
      <x:c r="U6" s="371"/>
      <x:c r="V6" s="371"/>
      <x:c r="W6" s="227"/>
      <x:c r="X6" s="376" t="str">
        <x:v>Ending cash</x:v>
      </x:c>
      <x:c r="Y6" s="377" t="n">
        <x:f>V78</x:f>
        <x:v>21763410.488769747</x:v>
      </x:c>
      <x:c r="Z6" s="227"/>
    </x:row>
    <x:row r="7" ht="23" customHeight="1">
      <x:c r="A7" s="378" t="str">
        <x:v>FUNDING &amp; DEPLOYMENT</x:v>
      </x:c>
      <x:c r="B7" s="378" t="str">
        <x:v>FUNDING &amp; DEPLOYMENT</x:v>
      </x:c>
      <x:c r="C7" s="378" t="str">
        <x:v>FUNDING &amp; DEPLOYMENT</x:v>
      </x:c>
      <x:c r="D7" s="378" t="str">
        <x:v>FUNDING &amp; DEPLOYMENT</x:v>
      </x:c>
      <x:c r="E7" s="378" t="str">
        <x:v>FUNDING &amp; DEPLOYMENT</x:v>
      </x:c>
      <x:c r="F7" s="378" t="str">
        <x:v>FUNDING &amp; DEPLOYMENT</x:v>
      </x:c>
      <x:c r="G7" s="378" t="str">
        <x:v>FUNDING &amp; DEPLOYMENT</x:v>
      </x:c>
      <x:c r="H7" s="378" t="str">
        <x:v>FUNDING &amp; DEPLOYMENT</x:v>
      </x:c>
      <x:c r="I7" s="378" t="str">
        <x:v>FUNDING &amp; DEPLOYMENT</x:v>
      </x:c>
      <x:c r="J7" s="378" t="str">
        <x:v>FUNDING &amp; DEPLOYMENT</x:v>
      </x:c>
      <x:c r="K7" s="378" t="str">
        <x:v>FUNDING &amp; DEPLOYMENT</x:v>
      </x:c>
      <x:c r="L7" s="378" t="str">
        <x:v>FUNDING &amp; DEPLOYMENT</x:v>
      </x:c>
      <x:c r="M7" s="378" t="str">
        <x:v>FUNDING &amp; DEPLOYMENT</x:v>
      </x:c>
      <x:c r="N7" s="378" t="str">
        <x:v>FUNDING &amp; DEPLOYMENT</x:v>
      </x:c>
      <x:c r="O7" s="378" t="str">
        <x:v>FUNDING &amp; DEPLOYMENT</x:v>
      </x:c>
      <x:c r="P7" s="378" t="str">
        <x:v>FUNDING &amp; DEPLOYMENT</x:v>
      </x:c>
      <x:c r="Q7" s="378" t="str">
        <x:v>FUNDING &amp; DEPLOYMENT</x:v>
      </x:c>
      <x:c r="R7" s="378" t="str">
        <x:v>FUNDING &amp; DEPLOYMENT</x:v>
      </x:c>
      <x:c r="S7" s="378" t="str">
        <x:v>FUNDING &amp; DEPLOYMENT</x:v>
      </x:c>
      <x:c r="T7" s="378" t="str">
        <x:v>FUNDING &amp; DEPLOYMENT</x:v>
      </x:c>
      <x:c r="U7" s="378" t="str">
        <x:v>FUNDING &amp; DEPLOYMENT</x:v>
      </x:c>
      <x:c r="V7" s="378" t="str">
        <x:v>FUNDING &amp; DEPLOYMENT</x:v>
      </x:c>
      <x:c r="W7" s="227"/>
      <x:c r="X7" s="376" t="str">
        <x:v>Minimum cash</x:v>
      </x:c>
      <x:c r="Y7" s="377" t="n">
        <x:f>MIN(C78:V78)</x:f>
        <x:v>75133</x:v>
      </x:c>
      <x:c r="Z7" s="227"/>
    </x:row>
    <x:row r="8">
      <x:c r="A8" s="327" t="str">
        <x:v>Seed funding</x:v>
      </x:c>
      <x:c r="B8" s="379" t="n">
        <x:f>IF(B$4=Assumptions!$B$31,Assumptions!$B$30,0)</x:f>
        <x:v>0</x:v>
      </x:c>
      <x:c r="C8" s="379" t="n">
        <x:f>IF(C$4=Assumptions!$B$31,Assumptions!$B$30,0)</x:f>
        <x:v>230000</x:v>
      </x:c>
      <x:c r="D8" s="379" t="n">
        <x:f>IF(D$4=Assumptions!$B$31,Assumptions!$B$30,0)</x:f>
        <x:v>0</x:v>
      </x:c>
      <x:c r="E8" s="379" t="n">
        <x:f>IF(E$4=Assumptions!$B$31,Assumptions!$B$30,0)</x:f>
        <x:v>0</x:v>
      </x:c>
      <x:c r="F8" s="379" t="n">
        <x:f>IF(F$4=Assumptions!$B$31,Assumptions!$B$30,0)</x:f>
        <x:v>0</x:v>
      </x:c>
      <x:c r="G8" s="379" t="n">
        <x:f>IF(G$4=Assumptions!$B$31,Assumptions!$B$30,0)</x:f>
        <x:v>0</x:v>
      </x:c>
      <x:c r="H8" s="379" t="n">
        <x:f>IF(H$4=Assumptions!$B$31,Assumptions!$B$30,0)</x:f>
        <x:v>0</x:v>
      </x:c>
      <x:c r="I8" s="379" t="n">
        <x:f>IF(I$4=Assumptions!$B$31,Assumptions!$B$30,0)</x:f>
        <x:v>0</x:v>
      </x:c>
      <x:c r="J8" s="379" t="n">
        <x:f>IF(J$4=Assumptions!$B$31,Assumptions!$B$30,0)</x:f>
        <x:v>0</x:v>
      </x:c>
      <x:c r="K8" s="379" t="n">
        <x:f>IF(K$4=Assumptions!$B$31,Assumptions!$B$30,0)</x:f>
        <x:v>0</x:v>
      </x:c>
      <x:c r="L8" s="379" t="n">
        <x:f>IF(L$4=Assumptions!$B$31,Assumptions!$B$30,0)</x:f>
        <x:v>0</x:v>
      </x:c>
      <x:c r="M8" s="379" t="n">
        <x:f>IF(M$4=Assumptions!$B$31,Assumptions!$B$30,0)</x:f>
        <x:v>0</x:v>
      </x:c>
      <x:c r="N8" s="379" t="n">
        <x:f>IF(N$4=Assumptions!$B$31,Assumptions!$B$30,0)</x:f>
        <x:v>0</x:v>
      </x:c>
      <x:c r="O8" s="379" t="n">
        <x:f>IF(O$4=Assumptions!$B$31,Assumptions!$B$30,0)</x:f>
        <x:v>0</x:v>
      </x:c>
      <x:c r="P8" s="379" t="n">
        <x:f>IF(P$4=Assumptions!$B$31,Assumptions!$B$30,0)</x:f>
        <x:v>0</x:v>
      </x:c>
      <x:c r="Q8" s="379" t="n">
        <x:f>IF(Q$4=Assumptions!$B$31,Assumptions!$B$30,0)</x:f>
        <x:v>0</x:v>
      </x:c>
      <x:c r="R8" s="379" t="n">
        <x:f>IF(R$4=Assumptions!$B$31,Assumptions!$B$30,0)</x:f>
        <x:v>0</x:v>
      </x:c>
      <x:c r="S8" s="379" t="n">
        <x:f>IF(S$4=Assumptions!$B$31,Assumptions!$B$30,0)</x:f>
        <x:v>0</x:v>
      </x:c>
      <x:c r="T8" s="379" t="n">
        <x:f>IF(T$4=Assumptions!$B$31,Assumptions!$B$30,0)</x:f>
        <x:v>0</x:v>
      </x:c>
      <x:c r="U8" s="379" t="n">
        <x:f>IF(U$4=Assumptions!$B$31,Assumptions!$B$30,0)</x:f>
        <x:v>0</x:v>
      </x:c>
      <x:c r="V8" s="379" t="n">
        <x:f>IF(V$4=Assumptions!$B$31,Assumptions!$B$30,0)</x:f>
        <x:v>0</x:v>
      </x:c>
      <x:c r="W8" s="227"/>
      <x:c r="X8" s="376" t="str">
        <x:v>Final active machines</x:v>
      </x:c>
      <x:c r="Y8" s="380" t="n">
        <x:f>V18</x:f>
        <x:v>1032</x:v>
      </x:c>
      <x:c r="Z8" s="227"/>
    </x:row>
    <x:row r="9">
      <x:c r="A9" s="327" t="str">
        <x:v>Institutional funding</x:v>
      </x:c>
      <x:c r="B9" s="379" t="n">
        <x:f>IF(B$4=Assumptions!$B$33,Assumptions!$B$32,0)</x:f>
        <x:v>0</x:v>
      </x:c>
      <x:c r="C9" s="379" t="n">
        <x:f>IF(C$4=Assumptions!$B$33,Assumptions!$B$32,0)</x:f>
        <x:v>0</x:v>
      </x:c>
      <x:c r="D9" s="379" t="n">
        <x:f>IF(D$4=Assumptions!$B$33,Assumptions!$B$32,0)</x:f>
        <x:v>0</x:v>
      </x:c>
      <x:c r="E9" s="379" t="n">
        <x:f>IF(E$4=Assumptions!$B$33,Assumptions!$B$32,0)</x:f>
        <x:v>0</x:v>
      </x:c>
      <x:c r="F9" s="379" t="n">
        <x:f>IF(F$4=Assumptions!$B$33,Assumptions!$B$32,0)</x:f>
        <x:v>0</x:v>
      </x:c>
      <x:c r="G9" s="379" t="n">
        <x:f>IF(G$4=Assumptions!$B$33,Assumptions!$B$32,0)</x:f>
        <x:v>0</x:v>
      </x:c>
      <x:c r="H9" s="379" t="n">
        <x:f>IF(H$4=Assumptions!$B$33,Assumptions!$B$32,0)</x:f>
        <x:v>0</x:v>
      </x:c>
      <x:c r="I9" s="379" t="n">
        <x:f>IF(I$4=Assumptions!$B$33,Assumptions!$B$32,0)</x:f>
        <x:v>4000000</x:v>
      </x:c>
      <x:c r="J9" s="379" t="n">
        <x:f>IF(J$4=Assumptions!$B$33,Assumptions!$B$32,0)</x:f>
        <x:v>0</x:v>
      </x:c>
      <x:c r="K9" s="379" t="n">
        <x:f>IF(K$4=Assumptions!$B$33,Assumptions!$B$32,0)</x:f>
        <x:v>0</x:v>
      </x:c>
      <x:c r="L9" s="379" t="n">
        <x:f>IF(L$4=Assumptions!$B$33,Assumptions!$B$32,0)</x:f>
        <x:v>0</x:v>
      </x:c>
      <x:c r="M9" s="379" t="n">
        <x:f>IF(M$4=Assumptions!$B$33,Assumptions!$B$32,0)</x:f>
        <x:v>0</x:v>
      </x:c>
      <x:c r="N9" s="379" t="n">
        <x:f>IF(N$4=Assumptions!$B$33,Assumptions!$B$32,0)</x:f>
        <x:v>0</x:v>
      </x:c>
      <x:c r="O9" s="379" t="n">
        <x:f>IF(O$4=Assumptions!$B$33,Assumptions!$B$32,0)</x:f>
        <x:v>0</x:v>
      </x:c>
      <x:c r="P9" s="379" t="n">
        <x:f>IF(P$4=Assumptions!$B$33,Assumptions!$B$32,0)</x:f>
        <x:v>0</x:v>
      </x:c>
      <x:c r="Q9" s="379" t="n">
        <x:f>IF(Q$4=Assumptions!$B$33,Assumptions!$B$32,0)</x:f>
        <x:v>0</x:v>
      </x:c>
      <x:c r="R9" s="379" t="n">
        <x:f>IF(R$4=Assumptions!$B$33,Assumptions!$B$32,0)</x:f>
        <x:v>0</x:v>
      </x:c>
      <x:c r="S9" s="379" t="n">
        <x:f>IF(S$4=Assumptions!$B$33,Assumptions!$B$32,0)</x:f>
        <x:v>0</x:v>
      </x:c>
      <x:c r="T9" s="379" t="n">
        <x:f>IF(T$4=Assumptions!$B$33,Assumptions!$B$32,0)</x:f>
        <x:v>0</x:v>
      </x:c>
      <x:c r="U9" s="379" t="n">
        <x:f>IF(U$4=Assumptions!$B$33,Assumptions!$B$32,0)</x:f>
        <x:v>0</x:v>
      </x:c>
      <x:c r="V9" s="379" t="n">
        <x:f>IF(V$4=Assumptions!$B$33,Assumptions!$B$32,0)</x:f>
        <x:v>0</x:v>
      </x:c>
      <x:c r="W9" s="227"/>
      <x:c r="X9" s="376" t="str">
        <x:v>Total machines ordered</x:v>
      </x:c>
      <x:c r="Y9" s="380" t="n">
        <x:f>SUM(B10:V10)</x:f>
        <x:v>1030</x:v>
      </x:c>
      <x:c r="Z9" s="227"/>
    </x:row>
    <x:row r="10">
      <x:c r="A10" s="327" t="str">
        <x:v>Machine orders (input)</x:v>
      </x:c>
      <x:c r="B10" s="381" t="n">
        <x:v>0</x:v>
      </x:c>
      <x:c r="C10" s="381" t="n">
        <x:v>0</x:v>
      </x:c>
      <x:c r="D10" s="381" t="n">
        <x:v>30</x:v>
      </x:c>
      <x:c r="E10" s="381" t="n">
        <x:v>0</x:v>
      </x:c>
      <x:c r="F10" s="381" t="n">
        <x:v>0</x:v>
      </x:c>
      <x:c r="G10" s="381" t="n">
        <x:v>0</x:v>
      </x:c>
      <x:c r="H10" s="381" t="n">
        <x:v>0</x:v>
      </x:c>
      <x:c r="I10" s="381" t="n">
        <x:v>100</x:v>
      </x:c>
      <x:c r="J10" s="381" t="n">
        <x:v>100</x:v>
      </x:c>
      <x:c r="K10" s="381" t="n">
        <x:v>100</x:v>
      </x:c>
      <x:c r="L10" s="381" t="n">
        <x:v>200</x:v>
      </x:c>
      <x:c r="M10" s="381" t="n">
        <x:v>0</x:v>
      </x:c>
      <x:c r="N10" s="381" t="n">
        <x:v>200</x:v>
      </x:c>
      <x:c r="O10" s="381" t="n">
        <x:v>0</x:v>
      </x:c>
      <x:c r="P10" s="381" t="n">
        <x:v>300</x:v>
      </x:c>
      <x:c r="Q10" s="381" t="n">
        <x:v>0</x:v>
      </x:c>
      <x:c r="R10" s="381" t="n">
        <x:v>0</x:v>
      </x:c>
      <x:c r="S10" s="381" t="n">
        <x:v>0</x:v>
      </x:c>
      <x:c r="T10" s="381" t="n">
        <x:v>0</x:v>
      </x:c>
      <x:c r="U10" s="381" t="n">
        <x:v>0</x:v>
      </x:c>
      <x:c r="V10" s="381" t="n">
        <x:v>0</x:v>
      </x:c>
      <x:c r="W10" s="227"/>
      <x:c r="X10" s="376" t="str">
        <x:v>Club campaigns delivered</x:v>
      </x:c>
      <x:c r="Y10" s="380" t="n">
        <x:f>SUM(B46:V46)</x:f>
        <x:v>5</x:v>
      </x:c>
      <x:c r="Z10" s="227"/>
    </x:row>
    <x:row r="11">
      <x:c r="A11" s="327" t="str">
        <x:v>Cumulative machines ordered</x:v>
      </x:c>
      <x:c r="B11" s="382" t="n">
        <x:f>SUM($B10:B10)</x:f>
        <x:v>0</x:v>
      </x:c>
      <x:c r="C11" s="382" t="n">
        <x:f>SUM($B10:C10)</x:f>
        <x:v>0</x:v>
      </x:c>
      <x:c r="D11" s="382" t="n">
        <x:f>SUM($B10:D10)</x:f>
        <x:v>30</x:v>
      </x:c>
      <x:c r="E11" s="382" t="n">
        <x:f>SUM($B10:E10)</x:f>
        <x:v>30</x:v>
      </x:c>
      <x:c r="F11" s="382" t="n">
        <x:f>SUM($B10:F10)</x:f>
        <x:v>30</x:v>
      </x:c>
      <x:c r="G11" s="382" t="n">
        <x:f>SUM($B10:G10)</x:f>
        <x:v>30</x:v>
      </x:c>
      <x:c r="H11" s="382" t="n">
        <x:f>SUM($B10:H10)</x:f>
        <x:v>30</x:v>
      </x:c>
      <x:c r="I11" s="382" t="n">
        <x:f>SUM($B10:I10)</x:f>
        <x:v>130</x:v>
      </x:c>
      <x:c r="J11" s="382" t="n">
        <x:f>SUM($B10:J10)</x:f>
        <x:v>230</x:v>
      </x:c>
      <x:c r="K11" s="382" t="n">
        <x:f>SUM($B10:K10)</x:f>
        <x:v>330</x:v>
      </x:c>
      <x:c r="L11" s="382" t="n">
        <x:f>SUM($B10:L10)</x:f>
        <x:v>530</x:v>
      </x:c>
      <x:c r="M11" s="382" t="n">
        <x:f>SUM($B10:M10)</x:f>
        <x:v>530</x:v>
      </x:c>
      <x:c r="N11" s="382" t="n">
        <x:f>SUM($B10:N10)</x:f>
        <x:v>730</x:v>
      </x:c>
      <x:c r="O11" s="382" t="n">
        <x:f>SUM($B10:O10)</x:f>
        <x:v>730</x:v>
      </x:c>
      <x:c r="P11" s="382" t="n">
        <x:f>SUM($B10:P10)</x:f>
        <x:v>1030</x:v>
      </x:c>
      <x:c r="Q11" s="382" t="n">
        <x:f>SUM($B10:Q10)</x:f>
        <x:v>1030</x:v>
      </x:c>
      <x:c r="R11" s="382" t="n">
        <x:f>SUM($B10:R10)</x:f>
        <x:v>1030</x:v>
      </x:c>
      <x:c r="S11" s="382" t="n">
        <x:f>SUM($B10:S10)</x:f>
        <x:v>1030</x:v>
      </x:c>
      <x:c r="T11" s="382" t="n">
        <x:f>SUM($B10:T10)</x:f>
        <x:v>1030</x:v>
      </x:c>
      <x:c r="U11" s="382" t="n">
        <x:f>SUM($B10:U10)</x:f>
        <x:v>1030</x:v>
      </x:c>
      <x:c r="V11" s="382" t="n">
        <x:f>SUM($B10:V10)</x:f>
        <x:v>1030</x:v>
      </x:c>
      <x:c r="W11" s="227"/>
      <x:c r="X11" s="376" t="str">
        <x:v>Club contribution</x:v>
      </x:c>
      <x:c r="Y11" s="377" t="n">
        <x:f>SUM(B55:V55)</x:f>
        <x:v>387000</x:v>
      </x:c>
      <x:c r="Z11" s="227"/>
    </x:row>
    <x:row r="12">
      <x:c r="A12" s="327" t="str">
        <x:v>Machine deposit cash (25%)</x:v>
      </x:c>
      <x:c r="B12" s="379" t="n">
        <x:f>B10*Assumptions!$B$37*Assumptions!$B$84</x:f>
        <x:v>0</x:v>
      </x:c>
      <x:c r="C12" s="379" t="n">
        <x:f>C10*Assumptions!$B$37*Assumptions!$B$84</x:f>
        <x:v>0</x:v>
      </x:c>
      <x:c r="D12" s="379" t="n">
        <x:f>D10*Assumptions!$B$37*Assumptions!$B$84</x:f>
        <x:v>20757.500000000004</x:v>
      </x:c>
      <x:c r="E12" s="379" t="n">
        <x:f>E10*Assumptions!$B$37*Assumptions!$B$84</x:f>
        <x:v>0</x:v>
      </x:c>
      <x:c r="F12" s="379" t="n">
        <x:f>F10*Assumptions!$B$37*Assumptions!$B$84</x:f>
        <x:v>0</x:v>
      </x:c>
      <x:c r="G12" s="379" t="n">
        <x:f>G10*Assumptions!$B$37*Assumptions!$B$84</x:f>
        <x:v>0</x:v>
      </x:c>
      <x:c r="H12" s="379" t="n">
        <x:f>H10*Assumptions!$B$37*Assumptions!$B$84</x:f>
        <x:v>0</x:v>
      </x:c>
      <x:c r="I12" s="379" t="n">
        <x:f>I10*Assumptions!$B$37*Assumptions!$B$84</x:f>
        <x:v>69191.66666666667</x:v>
      </x:c>
      <x:c r="J12" s="379" t="n">
        <x:f>J10*Assumptions!$B$37*Assumptions!$B$84</x:f>
        <x:v>69191.66666666667</x:v>
      </x:c>
      <x:c r="K12" s="379" t="n">
        <x:f>K10*Assumptions!$B$37*Assumptions!$B$84</x:f>
        <x:v>69191.66666666667</x:v>
      </x:c>
      <x:c r="L12" s="379" t="n">
        <x:f>L10*Assumptions!$B$37*Assumptions!$B$84</x:f>
        <x:v>138383.33333333334</x:v>
      </x:c>
      <x:c r="M12" s="379" t="n">
        <x:f>M10*Assumptions!$B$37*Assumptions!$B$84</x:f>
        <x:v>0</x:v>
      </x:c>
      <x:c r="N12" s="379" t="n">
        <x:f>N10*Assumptions!$B$37*Assumptions!$B$84</x:f>
        <x:v>138383.33333333334</x:v>
      </x:c>
      <x:c r="O12" s="379" t="n">
        <x:f>O10*Assumptions!$B$37*Assumptions!$B$84</x:f>
        <x:v>0</x:v>
      </x:c>
      <x:c r="P12" s="379" t="n">
        <x:f>P10*Assumptions!$B$37*Assumptions!$B$84</x:f>
        <x:v>207575.00000000003</x:v>
      </x:c>
      <x:c r="Q12" s="379" t="n">
        <x:f>Q10*Assumptions!$B$37*Assumptions!$B$84</x:f>
        <x:v>0</x:v>
      </x:c>
      <x:c r="R12" s="379" t="n">
        <x:f>R10*Assumptions!$B$37*Assumptions!$B$84</x:f>
        <x:v>0</x:v>
      </x:c>
      <x:c r="S12" s="379" t="n">
        <x:f>S10*Assumptions!$B$37*Assumptions!$B$84</x:f>
        <x:v>0</x:v>
      </x:c>
      <x:c r="T12" s="379" t="n">
        <x:f>T10*Assumptions!$B$37*Assumptions!$B$84</x:f>
        <x:v>0</x:v>
      </x:c>
      <x:c r="U12" s="379" t="n">
        <x:f>U10*Assumptions!$B$37*Assumptions!$B$84</x:f>
        <x:v>0</x:v>
      </x:c>
      <x:c r="V12" s="379" t="n">
        <x:f>V10*Assumptions!$B$37*Assumptions!$B$84</x:f>
        <x:v>0</x:v>
      </x:c>
      <x:c r="W12" s="227"/>
      <x:c r="X12" s="383" t="str">
        <x:v>Total funding</x:v>
      </x:c>
      <x:c r="Y12" s="384" t="n">
        <x:f>SUM(B8:V9)</x:f>
        <x:v>4230000</x:v>
      </x:c>
      <x:c r="Z12" s="227"/>
    </x:row>
    <x:row r="13">
      <x:c r="A13" s="327" t="str">
        <x:v>Machine balance cash (75%, t+2)</x:v>
      </x:c>
      <x:c r="B13" s="379" t="n">
        <x:f>0</x:f>
        <x:v>0</x:v>
      </x:c>
      <x:c r="C13" s="379" t="n">
        <x:f>0</x:f>
        <x:v>0</x:v>
      </x:c>
      <x:c r="D13" s="379" t="n">
        <x:f>B10*Assumptions!$B$37*Assumptions!$B$85</x:f>
        <x:v>0</x:v>
      </x:c>
      <x:c r="E13" s="379" t="n">
        <x:f>C10*Assumptions!$B$37*Assumptions!$B$85</x:f>
        <x:v>0</x:v>
      </x:c>
      <x:c r="F13" s="379" t="n">
        <x:f>D10*Assumptions!$B$37*Assumptions!$B$85</x:f>
        <x:v>62272.500000000015</x:v>
      </x:c>
      <x:c r="G13" s="379" t="n">
        <x:f>E10*Assumptions!$B$37*Assumptions!$B$85</x:f>
        <x:v>0</x:v>
      </x:c>
      <x:c r="H13" s="379" t="n">
        <x:f>F10*Assumptions!$B$37*Assumptions!$B$85</x:f>
        <x:v>0</x:v>
      </x:c>
      <x:c r="I13" s="379" t="n">
        <x:f>G10*Assumptions!$B$37*Assumptions!$B$85</x:f>
        <x:v>0</x:v>
      </x:c>
      <x:c r="J13" s="379" t="n">
        <x:f>H10*Assumptions!$B$37*Assumptions!$B$85</x:f>
        <x:v>0</x:v>
      </x:c>
      <x:c r="K13" s="379" t="n">
        <x:f>I10*Assumptions!$B$37*Assumptions!$B$85</x:f>
        <x:v>207575</x:v>
      </x:c>
      <x:c r="L13" s="379" t="n">
        <x:f>J10*Assumptions!$B$37*Assumptions!$B$85</x:f>
        <x:v>207575</x:v>
      </x:c>
      <x:c r="M13" s="379" t="n">
        <x:f>K10*Assumptions!$B$37*Assumptions!$B$85</x:f>
        <x:v>207575</x:v>
      </x:c>
      <x:c r="N13" s="379" t="n">
        <x:f>L10*Assumptions!$B$37*Assumptions!$B$85</x:f>
        <x:v>415150</x:v>
      </x:c>
      <x:c r="O13" s="379" t="n">
        <x:f>M10*Assumptions!$B$37*Assumptions!$B$85</x:f>
        <x:v>0</x:v>
      </x:c>
      <x:c r="P13" s="379" t="n">
        <x:f>N10*Assumptions!$B$37*Assumptions!$B$85</x:f>
        <x:v>415150</x:v>
      </x:c>
      <x:c r="Q13" s="379" t="n">
        <x:f>O10*Assumptions!$B$37*Assumptions!$B$85</x:f>
        <x:v>0</x:v>
      </x:c>
      <x:c r="R13" s="379" t="n">
        <x:f>P10*Assumptions!$B$37*Assumptions!$B$85</x:f>
        <x:v>622725.0000000001</x:v>
      </x:c>
      <x:c r="S13" s="379" t="n">
        <x:f>Q10*Assumptions!$B$37*Assumptions!$B$85</x:f>
        <x:v>0</x:v>
      </x:c>
      <x:c r="T13" s="379" t="n">
        <x:f>R10*Assumptions!$B$37*Assumptions!$B$85</x:f>
        <x:v>0</x:v>
      </x:c>
      <x:c r="U13" s="379" t="n">
        <x:f>S10*Assumptions!$B$37*Assumptions!$B$85</x:f>
        <x:v>0</x:v>
      </x:c>
      <x:c r="V13" s="379" t="n">
        <x:f>T10*Assumptions!$B$37*Assumptions!$B$85</x:f>
        <x:v>0</x:v>
      </x:c>
      <x:c r="W13" s="227"/>
      <x:c r="X13" s="227"/>
      <x:c r="Y13" s="227"/>
      <x:c r="Z13" s="227"/>
    </x:row>
    <x:row r="14">
      <x:c r="A14" s="327" t="str">
        <x:v>New commercial machines activated (t+5)</x:v>
      </x:c>
      <x:c r="B14" s="382" t="n">
        <x:f>0</x:f>
        <x:v>0</x:v>
      </x:c>
      <x:c r="C14" s="382" t="n">
        <x:f>0</x:f>
        <x:v>0</x:v>
      </x:c>
      <x:c r="D14" s="382" t="n">
        <x:f>0</x:f>
        <x:v>0</x:v>
      </x:c>
      <x:c r="E14" s="382" t="n">
        <x:f>0</x:f>
        <x:v>0</x:v>
      </x:c>
      <x:c r="F14" s="382" t="n">
        <x:f>0</x:f>
        <x:v>0</x:v>
      </x:c>
      <x:c r="G14" s="382" t="n">
        <x:f>B10</x:f>
        <x:v>0</x:v>
      </x:c>
      <x:c r="H14" s="382" t="n">
        <x:f>C10</x:f>
        <x:v>0</x:v>
      </x:c>
      <x:c r="I14" s="382" t="n">
        <x:f>D10</x:f>
        <x:v>30</x:v>
      </x:c>
      <x:c r="J14" s="382" t="n">
        <x:f>E10</x:f>
        <x:v>0</x:v>
      </x:c>
      <x:c r="K14" s="382" t="n">
        <x:f>F10</x:f>
        <x:v>0</x:v>
      </x:c>
      <x:c r="L14" s="382" t="n">
        <x:f>G10</x:f>
        <x:v>0</x:v>
      </x:c>
      <x:c r="M14" s="382" t="n">
        <x:f>H10</x:f>
        <x:v>0</x:v>
      </x:c>
      <x:c r="N14" s="382" t="n">
        <x:f>I10</x:f>
        <x:v>100</x:v>
      </x:c>
      <x:c r="O14" s="382" t="n">
        <x:f>J10</x:f>
        <x:v>100</x:v>
      </x:c>
      <x:c r="P14" s="382" t="n">
        <x:f>K10</x:f>
        <x:v>100</x:v>
      </x:c>
      <x:c r="Q14" s="382" t="n">
        <x:f>L10</x:f>
        <x:v>200</x:v>
      </x:c>
      <x:c r="R14" s="382" t="n">
        <x:f>M10</x:f>
        <x:v>0</x:v>
      </x:c>
      <x:c r="S14" s="382" t="n">
        <x:f>N10</x:f>
        <x:v>200</x:v>
      </x:c>
      <x:c r="T14" s="382" t="n">
        <x:f>O10</x:f>
        <x:v>0</x:v>
      </x:c>
      <x:c r="U14" s="382" t="n">
        <x:f>P10</x:f>
        <x:v>300</x:v>
      </x:c>
      <x:c r="V14" s="382" t="n">
        <x:f>Q10</x:f>
        <x:v>0</x:v>
      </x:c>
      <x:c r="W14" s="227"/>
      <x:c r="X14" s="227"/>
      <x:c r="Y14" s="227"/>
      <x:c r="Z14" s="227"/>
    </x:row>
    <x:row r="15">
      <x:c r="A15" s="327" t="str">
        <x:v>Active commercial machines</x:v>
      </x:c>
      <x:c r="B15" s="382" t="n">
        <x:f>B14</x:f>
        <x:v>0</x:v>
      </x:c>
      <x:c r="C15" s="382" t="n">
        <x:f>B15+C14</x:f>
        <x:v>0</x:v>
      </x:c>
      <x:c r="D15" s="382" t="n">
        <x:f>C15+D14</x:f>
        <x:v>0</x:v>
      </x:c>
      <x:c r="E15" s="382" t="n">
        <x:f>D15+E14</x:f>
        <x:v>0</x:v>
      </x:c>
      <x:c r="F15" s="382" t="n">
        <x:f>E15+F14</x:f>
        <x:v>0</x:v>
      </x:c>
      <x:c r="G15" s="382" t="n">
        <x:f>F15+G14</x:f>
        <x:v>0</x:v>
      </x:c>
      <x:c r="H15" s="382" t="n">
        <x:f>G15+H14</x:f>
        <x:v>0</x:v>
      </x:c>
      <x:c r="I15" s="382" t="n">
        <x:f>H15+I14</x:f>
        <x:v>30</x:v>
      </x:c>
      <x:c r="J15" s="382" t="n">
        <x:f>I15+J14</x:f>
        <x:v>30</x:v>
      </x:c>
      <x:c r="K15" s="382" t="n">
        <x:f>J15+K14</x:f>
        <x:v>30</x:v>
      </x:c>
      <x:c r="L15" s="382" t="n">
        <x:f>K15+L14</x:f>
        <x:v>30</x:v>
      </x:c>
      <x:c r="M15" s="382" t="n">
        <x:f>L15+M14</x:f>
        <x:v>30</x:v>
      </x:c>
      <x:c r="N15" s="382" t="n">
        <x:f>M15+N14</x:f>
        <x:v>130</x:v>
      </x:c>
      <x:c r="O15" s="382" t="n">
        <x:f>N15+O14</x:f>
        <x:v>230</x:v>
      </x:c>
      <x:c r="P15" s="382" t="n">
        <x:f>O15+P14</x:f>
        <x:v>330</x:v>
      </x:c>
      <x:c r="Q15" s="382" t="n">
        <x:f>P15+Q14</x:f>
        <x:v>530</x:v>
      </x:c>
      <x:c r="R15" s="382" t="n">
        <x:f>Q15+R14</x:f>
        <x:v>530</x:v>
      </x:c>
      <x:c r="S15" s="382" t="n">
        <x:f>R15+S14</x:f>
        <x:v>730</x:v>
      </x:c>
      <x:c r="T15" s="382" t="n">
        <x:f>S15+T14</x:f>
        <x:v>730</x:v>
      </x:c>
      <x:c r="U15" s="382" t="n">
        <x:f>T15+U14</x:f>
        <x:v>1030</x:v>
      </x:c>
      <x:c r="V15" s="382" t="n">
        <x:f>U15+V14</x:f>
        <x:v>1030</x:v>
      </x:c>
      <x:c r="W15" s="227"/>
      <x:c r="X15" s="227"/>
      <x:c r="Y15" s="227"/>
      <x:c r="Z15" s="227"/>
    </x:row>
    <x:row r="16">
      <x:c r="A16" s="327" t="str">
        <x:v>Commercial sales-equivalent machines</x:v>
      </x:c>
      <x:c r="B16" s="382" t="n">
        <x:f>B15-(1-Assumptions!$B$9)*B14</x:f>
        <x:v>0</x:v>
      </x:c>
      <x:c r="C16" s="382" t="n">
        <x:f>C15-(1-Assumptions!$B$9)*C14</x:f>
        <x:v>0</x:v>
      </x:c>
      <x:c r="D16" s="382" t="n">
        <x:f>D15-(1-Assumptions!$B$9)*D14</x:f>
        <x:v>0</x:v>
      </x:c>
      <x:c r="E16" s="382" t="n">
        <x:f>E15-(1-Assumptions!$B$9)*E14</x:f>
        <x:v>0</x:v>
      </x:c>
      <x:c r="F16" s="382" t="n">
        <x:f>F15-(1-Assumptions!$B$9)*F14</x:f>
        <x:v>0</x:v>
      </x:c>
      <x:c r="G16" s="382" t="n">
        <x:f>G15-(1-Assumptions!$B$9)*G14</x:f>
        <x:v>0</x:v>
      </x:c>
      <x:c r="H16" s="382" t="n">
        <x:f>H15-(1-Assumptions!$B$9)*H14</x:f>
        <x:v>0</x:v>
      </x:c>
      <x:c r="I16" s="382" t="n">
        <x:f>I15-(1-Assumptions!$B$9)*I14</x:f>
        <x:v>22.5</x:v>
      </x:c>
      <x:c r="J16" s="382" t="n">
        <x:f>J15-(1-Assumptions!$B$9)*J14</x:f>
        <x:v>30</x:v>
      </x:c>
      <x:c r="K16" s="382" t="n">
        <x:f>K15-(1-Assumptions!$B$9)*K14</x:f>
        <x:v>30</x:v>
      </x:c>
      <x:c r="L16" s="382" t="n">
        <x:f>L15-(1-Assumptions!$B$9)*L14</x:f>
        <x:v>30</x:v>
      </x:c>
      <x:c r="M16" s="382" t="n">
        <x:f>M15-(1-Assumptions!$B$9)*M14</x:f>
        <x:v>30</x:v>
      </x:c>
      <x:c r="N16" s="382" t="n">
        <x:f>N15-(1-Assumptions!$B$9)*N14</x:f>
        <x:v>105</x:v>
      </x:c>
      <x:c r="O16" s="382" t="n">
        <x:f>O15-(1-Assumptions!$B$9)*O14</x:f>
        <x:v>205</x:v>
      </x:c>
      <x:c r="P16" s="382" t="n">
        <x:f>P15-(1-Assumptions!$B$9)*P14</x:f>
        <x:v>305</x:v>
      </x:c>
      <x:c r="Q16" s="382" t="n">
        <x:f>Q15-(1-Assumptions!$B$9)*Q14</x:f>
        <x:v>480</x:v>
      </x:c>
      <x:c r="R16" s="382" t="n">
        <x:f>R15-(1-Assumptions!$B$9)*R14</x:f>
        <x:v>530</x:v>
      </x:c>
      <x:c r="S16" s="382" t="n">
        <x:f>S15-(1-Assumptions!$B$9)*S14</x:f>
        <x:v>680</x:v>
      </x:c>
      <x:c r="T16" s="382" t="n">
        <x:f>T15-(1-Assumptions!$B$9)*T14</x:f>
        <x:v>730</x:v>
      </x:c>
      <x:c r="U16" s="382" t="n">
        <x:f>U15-(1-Assumptions!$B$9)*U14</x:f>
        <x:v>955</x:v>
      </x:c>
      <x:c r="V16" s="382" t="n">
        <x:f>V15-(1-Assumptions!$B$9)*V14</x:f>
        <x:v>1030</x:v>
      </x:c>
      <x:c r="W16" s="227"/>
      <x:c r="X16" s="227"/>
      <x:c r="Y16" s="227"/>
      <x:c r="Z16" s="227"/>
    </x:row>
    <x:row r="17">
      <x:c r="A17" s="327" t="str">
        <x:v>Pilot sales-equivalent machines</x:v>
      </x:c>
      <x:c r="B17" s="382" t="n">
        <x:f>IF(B$4&lt;Assumptions!$B$20,0,IF(B$4=Assumptions!$B$20,(Assumptions!$B$28+Assumptions!$B$29)*Assumptions!$B$10,Assumptions!$B$28+Assumptions!$B$29))</x:f>
        <x:v>0</x:v>
      </x:c>
      <x:c r="C17" s="382" t="n">
        <x:f>IF(C$4&lt;Assumptions!$B$20,0,IF(C$4=Assumptions!$B$20,(Assumptions!$B$28+Assumptions!$B$29)*Assumptions!$B$10,Assumptions!$B$28+Assumptions!$B$29))</x:f>
        <x:v>0</x:v>
      </x:c>
      <x:c r="D17" s="382" t="n">
        <x:f>IF(D$4&lt;Assumptions!$B$20,0,IF(D$4=Assumptions!$B$20,(Assumptions!$B$28+Assumptions!$B$29)*Assumptions!$B$10,Assumptions!$B$28+Assumptions!$B$29))</x:f>
        <x:v>1</x:v>
      </x:c>
      <x:c r="E17" s="382" t="n">
        <x:f>IF(E$4&lt;Assumptions!$B$20,0,IF(E$4=Assumptions!$B$20,(Assumptions!$B$28+Assumptions!$B$29)*Assumptions!$B$10,Assumptions!$B$28+Assumptions!$B$29))</x:f>
        <x:v>2</x:v>
      </x:c>
      <x:c r="F17" s="382" t="n">
        <x:f>IF(F$4&lt;Assumptions!$B$20,0,IF(F$4=Assumptions!$B$20,(Assumptions!$B$28+Assumptions!$B$29)*Assumptions!$B$10,Assumptions!$B$28+Assumptions!$B$29))</x:f>
        <x:v>2</x:v>
      </x:c>
      <x:c r="G17" s="382" t="n">
        <x:f>IF(G$4&lt;Assumptions!$B$20,0,IF(G$4=Assumptions!$B$20,(Assumptions!$B$28+Assumptions!$B$29)*Assumptions!$B$10,Assumptions!$B$28+Assumptions!$B$29))</x:f>
        <x:v>2</x:v>
      </x:c>
      <x:c r="H17" s="382" t="n">
        <x:f>IF(H$4&lt;Assumptions!$B$20,0,IF(H$4=Assumptions!$B$20,(Assumptions!$B$28+Assumptions!$B$29)*Assumptions!$B$10,Assumptions!$B$28+Assumptions!$B$29))</x:f>
        <x:v>2</x:v>
      </x:c>
      <x:c r="I17" s="382" t="n">
        <x:f>IF(I$4&lt;Assumptions!$B$20,0,IF(I$4=Assumptions!$B$20,(Assumptions!$B$28+Assumptions!$B$29)*Assumptions!$B$10,Assumptions!$B$28+Assumptions!$B$29))</x:f>
        <x:v>2</x:v>
      </x:c>
      <x:c r="J17" s="382" t="n">
        <x:f>IF(J$4&lt;Assumptions!$B$20,0,IF(J$4=Assumptions!$B$20,(Assumptions!$B$28+Assumptions!$B$29)*Assumptions!$B$10,Assumptions!$B$28+Assumptions!$B$29))</x:f>
        <x:v>2</x:v>
      </x:c>
      <x:c r="K17" s="382" t="n">
        <x:f>IF(K$4&lt;Assumptions!$B$20,0,IF(K$4=Assumptions!$B$20,(Assumptions!$B$28+Assumptions!$B$29)*Assumptions!$B$10,Assumptions!$B$28+Assumptions!$B$29))</x:f>
        <x:v>2</x:v>
      </x:c>
      <x:c r="L17" s="382" t="n">
        <x:f>IF(L$4&lt;Assumptions!$B$20,0,IF(L$4=Assumptions!$B$20,(Assumptions!$B$28+Assumptions!$B$29)*Assumptions!$B$10,Assumptions!$B$28+Assumptions!$B$29))</x:f>
        <x:v>2</x:v>
      </x:c>
      <x:c r="M17" s="382" t="n">
        <x:f>IF(M$4&lt;Assumptions!$B$20,0,IF(M$4=Assumptions!$B$20,(Assumptions!$B$28+Assumptions!$B$29)*Assumptions!$B$10,Assumptions!$B$28+Assumptions!$B$29))</x:f>
        <x:v>2</x:v>
      </x:c>
      <x:c r="N17" s="382" t="n">
        <x:f>IF(N$4&lt;Assumptions!$B$20,0,IF(N$4=Assumptions!$B$20,(Assumptions!$B$28+Assumptions!$B$29)*Assumptions!$B$10,Assumptions!$B$28+Assumptions!$B$29))</x:f>
        <x:v>2</x:v>
      </x:c>
      <x:c r="O17" s="382" t="n">
        <x:f>IF(O$4&lt;Assumptions!$B$20,0,IF(O$4=Assumptions!$B$20,(Assumptions!$B$28+Assumptions!$B$29)*Assumptions!$B$10,Assumptions!$B$28+Assumptions!$B$29))</x:f>
        <x:v>2</x:v>
      </x:c>
      <x:c r="P17" s="382" t="n">
        <x:f>IF(P$4&lt;Assumptions!$B$20,0,IF(P$4=Assumptions!$B$20,(Assumptions!$B$28+Assumptions!$B$29)*Assumptions!$B$10,Assumptions!$B$28+Assumptions!$B$29))</x:f>
        <x:v>2</x:v>
      </x:c>
      <x:c r="Q17" s="382" t="n">
        <x:f>IF(Q$4&lt;Assumptions!$B$20,0,IF(Q$4=Assumptions!$B$20,(Assumptions!$B$28+Assumptions!$B$29)*Assumptions!$B$10,Assumptions!$B$28+Assumptions!$B$29))</x:f>
        <x:v>2</x:v>
      </x:c>
      <x:c r="R17" s="382" t="n">
        <x:f>IF(R$4&lt;Assumptions!$B$20,0,IF(R$4=Assumptions!$B$20,(Assumptions!$B$28+Assumptions!$B$29)*Assumptions!$B$10,Assumptions!$B$28+Assumptions!$B$29))</x:f>
        <x:v>2</x:v>
      </x:c>
      <x:c r="S17" s="382" t="n">
        <x:f>IF(S$4&lt;Assumptions!$B$20,0,IF(S$4=Assumptions!$B$20,(Assumptions!$B$28+Assumptions!$B$29)*Assumptions!$B$10,Assumptions!$B$28+Assumptions!$B$29))</x:f>
        <x:v>2</x:v>
      </x:c>
      <x:c r="T17" s="382" t="n">
        <x:f>IF(T$4&lt;Assumptions!$B$20,0,IF(T$4=Assumptions!$B$20,(Assumptions!$B$28+Assumptions!$B$29)*Assumptions!$B$10,Assumptions!$B$28+Assumptions!$B$29))</x:f>
        <x:v>2</x:v>
      </x:c>
      <x:c r="U17" s="382" t="n">
        <x:f>IF(U$4&lt;Assumptions!$B$20,0,IF(U$4=Assumptions!$B$20,(Assumptions!$B$28+Assumptions!$B$29)*Assumptions!$B$10,Assumptions!$B$28+Assumptions!$B$29))</x:f>
        <x:v>2</x:v>
      </x:c>
      <x:c r="V17" s="382" t="n">
        <x:f>IF(V$4&lt;Assumptions!$B$20,0,IF(V$4=Assumptions!$B$20,(Assumptions!$B$28+Assumptions!$B$29)*Assumptions!$B$10,Assumptions!$B$28+Assumptions!$B$29))</x:f>
        <x:v>2</x:v>
      </x:c>
      <x:c r="W17" s="227"/>
      <x:c r="X17" s="227"/>
      <x:c r="Y17" s="227"/>
      <x:c r="Z17" s="227"/>
    </x:row>
    <x:row r="18">
      <x:c r="A18" s="327" t="str">
        <x:v>Total active physical machines</x:v>
      </x:c>
      <x:c r="B18" s="382" t="n">
        <x:f>B15+IF(B$4&gt;=Assumptions!$B$20,Assumptions!$B$28+Assumptions!$B$29,0)</x:f>
        <x:v>0</x:v>
      </x:c>
      <x:c r="C18" s="382" t="n">
        <x:f>C15+IF(C$4&gt;=Assumptions!$B$20,Assumptions!$B$28+Assumptions!$B$29,0)</x:f>
        <x:v>0</x:v>
      </x:c>
      <x:c r="D18" s="382" t="n">
        <x:f>D15+IF(D$4&gt;=Assumptions!$B$20,Assumptions!$B$28+Assumptions!$B$29,0)</x:f>
        <x:v>2</x:v>
      </x:c>
      <x:c r="E18" s="382" t="n">
        <x:f>E15+IF(E$4&gt;=Assumptions!$B$20,Assumptions!$B$28+Assumptions!$B$29,0)</x:f>
        <x:v>2</x:v>
      </x:c>
      <x:c r="F18" s="382" t="n">
        <x:f>F15+IF(F$4&gt;=Assumptions!$B$20,Assumptions!$B$28+Assumptions!$B$29,0)</x:f>
        <x:v>2</x:v>
      </x:c>
      <x:c r="G18" s="382" t="n">
        <x:f>G15+IF(G$4&gt;=Assumptions!$B$20,Assumptions!$B$28+Assumptions!$B$29,0)</x:f>
        <x:v>2</x:v>
      </x:c>
      <x:c r="H18" s="382" t="n">
        <x:f>H15+IF(H$4&gt;=Assumptions!$B$20,Assumptions!$B$28+Assumptions!$B$29,0)</x:f>
        <x:v>2</x:v>
      </x:c>
      <x:c r="I18" s="382" t="n">
        <x:f>I15+IF(I$4&gt;=Assumptions!$B$20,Assumptions!$B$28+Assumptions!$B$29,0)</x:f>
        <x:v>32</x:v>
      </x:c>
      <x:c r="J18" s="382" t="n">
        <x:f>J15+IF(J$4&gt;=Assumptions!$B$20,Assumptions!$B$28+Assumptions!$B$29,0)</x:f>
        <x:v>32</x:v>
      </x:c>
      <x:c r="K18" s="382" t="n">
        <x:f>K15+IF(K$4&gt;=Assumptions!$B$20,Assumptions!$B$28+Assumptions!$B$29,0)</x:f>
        <x:v>32</x:v>
      </x:c>
      <x:c r="L18" s="382" t="n">
        <x:f>L15+IF(L$4&gt;=Assumptions!$B$20,Assumptions!$B$28+Assumptions!$B$29,0)</x:f>
        <x:v>32</x:v>
      </x:c>
      <x:c r="M18" s="382" t="n">
        <x:f>M15+IF(M$4&gt;=Assumptions!$B$20,Assumptions!$B$28+Assumptions!$B$29,0)</x:f>
        <x:v>32</x:v>
      </x:c>
      <x:c r="N18" s="382" t="n">
        <x:f>N15+IF(N$4&gt;=Assumptions!$B$20,Assumptions!$B$28+Assumptions!$B$29,0)</x:f>
        <x:v>132</x:v>
      </x:c>
      <x:c r="O18" s="382" t="n">
        <x:f>O15+IF(O$4&gt;=Assumptions!$B$20,Assumptions!$B$28+Assumptions!$B$29,0)</x:f>
        <x:v>232</x:v>
      </x:c>
      <x:c r="P18" s="382" t="n">
        <x:f>P15+IF(P$4&gt;=Assumptions!$B$20,Assumptions!$B$28+Assumptions!$B$29,0)</x:f>
        <x:v>332</x:v>
      </x:c>
      <x:c r="Q18" s="382" t="n">
        <x:f>Q15+IF(Q$4&gt;=Assumptions!$B$20,Assumptions!$B$28+Assumptions!$B$29,0)</x:f>
        <x:v>532</x:v>
      </x:c>
      <x:c r="R18" s="382" t="n">
        <x:f>R15+IF(R$4&gt;=Assumptions!$B$20,Assumptions!$B$28+Assumptions!$B$29,0)</x:f>
        <x:v>532</x:v>
      </x:c>
      <x:c r="S18" s="382" t="n">
        <x:f>S15+IF(S$4&gt;=Assumptions!$B$20,Assumptions!$B$28+Assumptions!$B$29,0)</x:f>
        <x:v>732</x:v>
      </x:c>
      <x:c r="T18" s="382" t="n">
        <x:f>T15+IF(T$4&gt;=Assumptions!$B$20,Assumptions!$B$28+Assumptions!$B$29,0)</x:f>
        <x:v>732</x:v>
      </x:c>
      <x:c r="U18" s="382" t="n">
        <x:f>U15+IF(U$4&gt;=Assumptions!$B$20,Assumptions!$B$28+Assumptions!$B$29,0)</x:f>
        <x:v>1032</x:v>
      </x:c>
      <x:c r="V18" s="382" t="n">
        <x:f>V15+IF(V$4&gt;=Assumptions!$B$20,Assumptions!$B$28+Assumptions!$B$29,0)</x:f>
        <x:v>1032</x:v>
      </x:c>
      <x:c r="W18" s="227"/>
      <x:c r="X18" s="227"/>
      <x:c r="Y18" s="227"/>
      <x:c r="Z18" s="227"/>
    </x:row>
    <x:row r="19">
      <x:c r="A19" s="327" t="str">
        <x:v>Fixed OPEX (revenue-gated)</x:v>
      </x:c>
      <x:c r="B19" s="379" t="n">
        <x:f>'Personnel &amp; OPEX'!B51</x:f>
        <x:v>0</x:v>
      </x:c>
      <x:c r="C19" s="379" t="n">
        <x:f>'Personnel &amp; OPEX'!C51</x:f>
        <x:v>15700</x:v>
      </x:c>
      <x:c r="D19" s="379" t="n">
        <x:f>'Personnel &amp; OPEX'!D51</x:f>
        <x:v>15700</x:v>
      </x:c>
      <x:c r="E19" s="379" t="n">
        <x:f>'Personnel &amp; OPEX'!E51</x:f>
        <x:v>15700</x:v>
      </x:c>
      <x:c r="F19" s="379" t="n">
        <x:f>'Personnel &amp; OPEX'!F51</x:f>
        <x:v>15700</x:v>
      </x:c>
      <x:c r="G19" s="379" t="n">
        <x:f>'Personnel &amp; OPEX'!G51</x:f>
        <x:v>15700</x:v>
      </x:c>
      <x:c r="H19" s="379" t="n">
        <x:f>'Personnel &amp; OPEX'!H51</x:f>
        <x:v>15700</x:v>
      </x:c>
      <x:c r="I19" s="379" t="n">
        <x:f>'Personnel &amp; OPEX'!I51</x:f>
        <x:v>15700</x:v>
      </x:c>
      <x:c r="J19" s="379" t="n">
        <x:f>'Personnel &amp; OPEX'!J51</x:f>
        <x:v>15700</x:v>
      </x:c>
      <x:c r="K19" s="379" t="n">
        <x:f>'Personnel &amp; OPEX'!K51</x:f>
        <x:v>15700</x:v>
      </x:c>
      <x:c r="L19" s="379" t="n">
        <x:f>'Personnel &amp; OPEX'!L51</x:f>
        <x:v>15700</x:v>
      </x:c>
      <x:c r="M19" s="379" t="n">
        <x:f>'Personnel &amp; OPEX'!M51</x:f>
        <x:v>15700</x:v>
      </x:c>
      <x:c r="N19" s="379" t="n">
        <x:f>'Personnel &amp; OPEX'!N51</x:f>
        <x:v>60000</x:v>
      </x:c>
      <x:c r="O19" s="379" t="n">
        <x:f>'Personnel &amp; OPEX'!O51</x:f>
        <x:v>110000</x:v>
      </x:c>
      <x:c r="P19" s="379" t="n">
        <x:f>'Personnel &amp; OPEX'!P51</x:f>
        <x:v>180000</x:v>
      </x:c>
      <x:c r="Q19" s="379" t="n">
        <x:f>'Personnel &amp; OPEX'!Q51</x:f>
        <x:v>302467.2399395251</x:v>
      </x:c>
      <x:c r="R19" s="379" t="n">
        <x:f>'Personnel &amp; OPEX'!R51</x:f>
        <x:v>302467.2399395251</x:v>
      </x:c>
      <x:c r="S19" s="379" t="n">
        <x:f>'Personnel &amp; OPEX'!S51</x:f>
        <x:v>389775.4228844533</x:v>
      </x:c>
      <x:c r="T19" s="379" t="n">
        <x:f>'Personnel &amp; OPEX'!T51</x:f>
        <x:v>389775.4228844533</x:v>
      </x:c>
      <x:c r="U19" s="379" t="n">
        <x:f>'Personnel &amp; OPEX'!U51</x:f>
        <x:v>514832.12633281323</x:v>
      </x:c>
      <x:c r="V19" s="379" t="n">
        <x:f>'Personnel &amp; OPEX'!V51</x:f>
        <x:v>514832.12633281323</x:v>
      </x:c>
      <x:c r="W19" s="227"/>
      <x:c r="X19" s="227"/>
      <x:c r="Y19" s="227"/>
      <x:c r="Z19" s="227"/>
    </x:row>
    <x:row r="20">
      <x:c r="A20" s="327"/>
      <x:c r="B20" s="385"/>
      <x:c r="C20" s="385"/>
      <x:c r="D20" s="385"/>
      <x:c r="E20" s="385"/>
      <x:c r="F20" s="385"/>
      <x:c r="G20" s="385"/>
      <x:c r="H20" s="385"/>
      <x:c r="I20" s="385"/>
      <x:c r="J20" s="385"/>
      <x:c r="K20" s="385"/>
      <x:c r="L20" s="385"/>
      <x:c r="M20" s="385"/>
      <x:c r="N20" s="385"/>
      <x:c r="O20" s="385"/>
      <x:c r="P20" s="385"/>
      <x:c r="Q20" s="385"/>
      <x:c r="R20" s="385"/>
      <x:c r="S20" s="385"/>
      <x:c r="T20" s="385"/>
      <x:c r="U20" s="385"/>
      <x:c r="V20" s="385"/>
      <x:c r="W20" s="227"/>
      <x:c r="X20" s="227"/>
      <x:c r="Y20" s="227"/>
      <x:c r="Z20" s="227"/>
    </x:row>
    <x:row r="21" ht="23" customHeight="1">
      <x:c r="A21" s="335" t="str">
        <x:v>VENDING OPERATIONS</x:v>
      </x:c>
      <x:c r="B21" s="386" t="str">
        <x:v>VENDING OPERATIONS</x:v>
      </x:c>
      <x:c r="C21" s="386" t="str">
        <x:v>VENDING OPERATIONS</x:v>
      </x:c>
      <x:c r="D21" s="386" t="str">
        <x:v>VENDING OPERATIONS</x:v>
      </x:c>
      <x:c r="E21" s="386" t="str">
        <x:v>VENDING OPERATIONS</x:v>
      </x:c>
      <x:c r="F21" s="386" t="str">
        <x:v>VENDING OPERATIONS</x:v>
      </x:c>
      <x:c r="G21" s="386" t="str">
        <x:v>VENDING OPERATIONS</x:v>
      </x:c>
      <x:c r="H21" s="386" t="str">
        <x:v>VENDING OPERATIONS</x:v>
      </x:c>
      <x:c r="I21" s="386" t="str">
        <x:v>VENDING OPERATIONS</x:v>
      </x:c>
      <x:c r="J21" s="386" t="str">
        <x:v>VENDING OPERATIONS</x:v>
      </x:c>
      <x:c r="K21" s="386" t="str">
        <x:v>VENDING OPERATIONS</x:v>
      </x:c>
      <x:c r="L21" s="386" t="str">
        <x:v>VENDING OPERATIONS</x:v>
      </x:c>
      <x:c r="M21" s="386" t="str">
        <x:v>VENDING OPERATIONS</x:v>
      </x:c>
      <x:c r="N21" s="386" t="str">
        <x:v>VENDING OPERATIONS</x:v>
      </x:c>
      <x:c r="O21" s="386" t="str">
        <x:v>VENDING OPERATIONS</x:v>
      </x:c>
      <x:c r="P21" s="386" t="str">
        <x:v>VENDING OPERATIONS</x:v>
      </x:c>
      <x:c r="Q21" s="386" t="str">
        <x:v>VENDING OPERATIONS</x:v>
      </x:c>
      <x:c r="R21" s="386" t="str">
        <x:v>VENDING OPERATIONS</x:v>
      </x:c>
      <x:c r="S21" s="386" t="str">
        <x:v>VENDING OPERATIONS</x:v>
      </x:c>
      <x:c r="T21" s="386" t="str">
        <x:v>VENDING OPERATIONS</x:v>
      </x:c>
      <x:c r="U21" s="386" t="str">
        <x:v>VENDING OPERATIONS</x:v>
      </x:c>
      <x:c r="V21" s="386" t="str">
        <x:v>VENDING OPERATIONS</x:v>
      </x:c>
      <x:c r="W21" s="227"/>
      <x:c r="X21" s="227"/>
      <x:c r="Y21" s="227"/>
      <x:c r="Z21" s="227"/>
    </x:row>
    <x:row r="22">
      <x:c r="A22" s="327" t="str">
        <x:v>Vending magnets ordered (input)</x:v>
      </x:c>
      <x:c r="B22" s="381" t="n">
        <x:v>0</x:v>
      </x:c>
      <x:c r="C22" s="381" t="n">
        <x:v>0</x:v>
      </x:c>
      <x:c r="D22" s="381" t="n">
        <x:v>30000</x:v>
      </x:c>
      <x:c r="E22" s="381" t="n">
        <x:v>0</x:v>
      </x:c>
      <x:c r="F22" s="381" t="n">
        <x:v>0</x:v>
      </x:c>
      <x:c r="G22" s="381" t="n">
        <x:v>0</x:v>
      </x:c>
      <x:c r="H22" s="381" t="n">
        <x:v>0</x:v>
      </x:c>
      <x:c r="I22" s="381" t="n">
        <x:v>13800</x:v>
      </x:c>
      <x:c r="J22" s="381" t="n">
        <x:v>13800</x:v>
      </x:c>
      <x:c r="K22" s="381" t="n">
        <x:v>13900</x:v>
      </x:c>
      <x:c r="L22" s="381" t="n">
        <x:v>53100</x:v>
      </x:c>
      <x:c r="M22" s="381" t="n">
        <x:v>98700</x:v>
      </x:c>
      <x:c r="N22" s="381" t="n">
        <x:v>142200</x:v>
      </x:c>
      <x:c r="O22" s="381" t="n">
        <x:v>224900</x:v>
      </x:c>
      <x:c r="P22" s="381" t="n">
        <x:v>235700</x:v>
      </x:c>
      <x:c r="Q22" s="381" t="n">
        <x:v>309700</x:v>
      </x:c>
      <x:c r="R22" s="381" t="n">
        <x:v>322700</x:v>
      </x:c>
      <x:c r="S22" s="381" t="n">
        <x:v>435900</x:v>
      </x:c>
      <x:c r="T22" s="381" t="n">
        <x:v>455400</x:v>
      </x:c>
      <x:c r="U22" s="381" t="n">
        <x:v>0</x:v>
      </x:c>
      <x:c r="V22" s="381" t="n">
        <x:v>0</x:v>
      </x:c>
      <x:c r="W22" s="227"/>
      <x:c r="X22" s="227"/>
      <x:c r="Y22" s="227"/>
      <x:c r="Z22" s="227"/>
    </x:row>
    <x:row r="23">
      <x:c r="A23" s="327" t="str">
        <x:v>Magnet deposit cash (25%)</x:v>
      </x:c>
      <x:c r="B23" s="379" t="n">
        <x:f>B22*Assumptions!$B$50*Assumptions!$B$84</x:f>
        <x:v>0</x:v>
      </x:c>
      <x:c r="C23" s="379" t="n">
        <x:f>C22*Assumptions!$B$50*Assumptions!$B$84</x:f>
        <x:v>0</x:v>
      </x:c>
      <x:c r="D23" s="379" t="n">
        <x:f>D22*Assumptions!$B$50*Assumptions!$B$84</x:f>
        <x:v>26047.5</x:v>
      </x:c>
      <x:c r="E23" s="379" t="n">
        <x:f>E22*Assumptions!$B$50*Assumptions!$B$84</x:f>
        <x:v>0</x:v>
      </x:c>
      <x:c r="F23" s="379" t="n">
        <x:f>F22*Assumptions!$B$50*Assumptions!$B$84</x:f>
        <x:v>0</x:v>
      </x:c>
      <x:c r="G23" s="379" t="n">
        <x:f>G22*Assumptions!$B$50*Assumptions!$B$84</x:f>
        <x:v>0</x:v>
      </x:c>
      <x:c r="H23" s="379" t="n">
        <x:f>H22*Assumptions!$B$50*Assumptions!$B$84</x:f>
        <x:v>0</x:v>
      </x:c>
      <x:c r="I23" s="379" t="n">
        <x:f>I22*Assumptions!$B$50*Assumptions!$B$84</x:f>
        <x:v>11981.85</x:v>
      </x:c>
      <x:c r="J23" s="379" t="n">
        <x:f>J22*Assumptions!$B$50*Assumptions!$B$84</x:f>
        <x:v>11981.85</x:v>
      </x:c>
      <x:c r="K23" s="379" t="n">
        <x:f>K22*Assumptions!$B$50*Assumptions!$B$84</x:f>
        <x:v>12068.675</x:v>
      </x:c>
      <x:c r="L23" s="379" t="n">
        <x:f>L22*Assumptions!$B$50*Assumptions!$B$84</x:f>
        <x:v>46104.075</x:v>
      </x:c>
      <x:c r="M23" s="379" t="n">
        <x:f>M22*Assumptions!$B$50*Assumptions!$B$84</x:f>
        <x:v>85696.275</x:v>
      </x:c>
      <x:c r="N23" s="379" t="n">
        <x:f>N22*Assumptions!$B$50*Assumptions!$B$84</x:f>
        <x:v>123465.15</x:v>
      </x:c>
      <x:c r="O23" s="379" t="n">
        <x:f>O22*Assumptions!$B$50*Assumptions!$B$84</x:f>
        <x:v>195269.425</x:v>
      </x:c>
      <x:c r="P23" s="379" t="n">
        <x:f>P22*Assumptions!$B$50*Assumptions!$B$84</x:f>
        <x:v>204646.525</x:v>
      </x:c>
      <x:c r="Q23" s="379" t="n">
        <x:f>Q22*Assumptions!$B$50*Assumptions!$B$84</x:f>
        <x:v>268897.02499999997</x:v>
      </x:c>
      <x:c r="R23" s="379" t="n">
        <x:f>R22*Assumptions!$B$50*Assumptions!$B$84</x:f>
        <x:v>280184.27499999997</x:v>
      </x:c>
      <x:c r="S23" s="379" t="n">
        <x:f>S22*Assumptions!$B$50*Assumptions!$B$84</x:f>
        <x:v>378470.175</x:v>
      </x:c>
      <x:c r="T23" s="379" t="n">
        <x:f>T22*Assumptions!$B$50*Assumptions!$B$84</x:f>
        <x:v>395401.05</x:v>
      </x:c>
      <x:c r="U23" s="379" t="n">
        <x:f>U22*Assumptions!$B$50*Assumptions!$B$84</x:f>
        <x:v>0</x:v>
      </x:c>
      <x:c r="V23" s="379" t="n">
        <x:f>V22*Assumptions!$B$50*Assumptions!$B$84</x:f>
        <x:v>0</x:v>
      </x:c>
      <x:c r="W23" s="227"/>
      <x:c r="X23" s="227"/>
      <x:c r="Y23" s="227"/>
      <x:c r="Z23" s="227"/>
    </x:row>
    <x:row r="24">
      <x:c r="A24" s="327" t="str">
        <x:v>Magnet balance cash (75%, t+1)</x:v>
      </x:c>
      <x:c r="B24" s="379" t="n">
        <x:f>0</x:f>
        <x:v>0</x:v>
      </x:c>
      <x:c r="C24" s="379" t="n">
        <x:f>B22*Assumptions!$B$50*Assumptions!$B$85</x:f>
        <x:v>0</x:v>
      </x:c>
      <x:c r="D24" s="379" t="n">
        <x:f>C22*Assumptions!$B$50*Assumptions!$B$85</x:f>
        <x:v>0</x:v>
      </x:c>
      <x:c r="E24" s="379" t="n">
        <x:f>D22*Assumptions!$B$50*Assumptions!$B$85</x:f>
        <x:v>78142.5</x:v>
      </x:c>
      <x:c r="F24" s="379" t="n">
        <x:f>E22*Assumptions!$B$50*Assumptions!$B$85</x:f>
        <x:v>0</x:v>
      </x:c>
      <x:c r="G24" s="379" t="n">
        <x:f>F22*Assumptions!$B$50*Assumptions!$B$85</x:f>
        <x:v>0</x:v>
      </x:c>
      <x:c r="H24" s="379" t="n">
        <x:f>G22*Assumptions!$B$50*Assumptions!$B$85</x:f>
        <x:v>0</x:v>
      </x:c>
      <x:c r="I24" s="379" t="n">
        <x:f>H22*Assumptions!$B$50*Assumptions!$B$85</x:f>
        <x:v>0</x:v>
      </x:c>
      <x:c r="J24" s="379" t="n">
        <x:f>I22*Assumptions!$B$50*Assumptions!$B$85</x:f>
        <x:v>35945.55</x:v>
      </x:c>
      <x:c r="K24" s="379" t="n">
        <x:f>J22*Assumptions!$B$50*Assumptions!$B$85</x:f>
        <x:v>35945.55</x:v>
      </x:c>
      <x:c r="L24" s="379" t="n">
        <x:f>K22*Assumptions!$B$50*Assumptions!$B$85</x:f>
        <x:v>36206.024999999994</x:v>
      </x:c>
      <x:c r="M24" s="379" t="n">
        <x:f>L22*Assumptions!$B$50*Assumptions!$B$85</x:f>
        <x:v>138312.22499999998</x:v>
      </x:c>
      <x:c r="N24" s="379" t="n">
        <x:f>M22*Assumptions!$B$50*Assumptions!$B$85</x:f>
        <x:v>257088.82499999998</x:v>
      </x:c>
      <x:c r="O24" s="379" t="n">
        <x:f>N22*Assumptions!$B$50*Assumptions!$B$85</x:f>
        <x:v>370395.44999999995</x:v>
      </x:c>
      <x:c r="P24" s="379" t="n">
        <x:f>O22*Assumptions!$B$50*Assumptions!$B$85</x:f>
        <x:v>585808.2749999999</x:v>
      </x:c>
      <x:c r="Q24" s="379" t="n">
        <x:f>P22*Assumptions!$B$50*Assumptions!$B$85</x:f>
        <x:v>613939.575</x:v>
      </x:c>
      <x:c r="R24" s="379" t="n">
        <x:f>Q22*Assumptions!$B$50*Assumptions!$B$85</x:f>
        <x:v>806691.075</x:v>
      </x:c>
      <x:c r="S24" s="379" t="n">
        <x:f>R22*Assumptions!$B$50*Assumptions!$B$85</x:f>
        <x:v>840552.825</x:v>
      </x:c>
      <x:c r="T24" s="379" t="n">
        <x:f>S22*Assumptions!$B$50*Assumptions!$B$85</x:f>
        <x:v>1135410.525</x:v>
      </x:c>
      <x:c r="U24" s="379" t="n">
        <x:f>T22*Assumptions!$B$50*Assumptions!$B$85</x:f>
        <x:v>1186203.15</x:v>
      </x:c>
      <x:c r="V24" s="379" t="n">
        <x:f>U22*Assumptions!$B$50*Assumptions!$B$85</x:f>
        <x:v>0</x:v>
      </x:c>
      <x:c r="W24" s="227"/>
      <x:c r="X24" s="227"/>
      <x:c r="Y24" s="227"/>
      <x:c r="Z24" s="227"/>
    </x:row>
    <x:row r="25">
      <x:c r="A25" s="327" t="str">
        <x:v>Inventory receipts</x:v>
      </x:c>
      <x:c r="B25" s="382" t="n">
        <x:f>IF(B$4=Assumptions!$B$20,Assumptions!$B$51,0)</x:f>
        <x:v>0</x:v>
      </x:c>
      <x:c r="C25" s="382" t="n">
        <x:f>IF(C$4=Assumptions!$B$20,Assumptions!$B$51,0)</x:f>
        <x:v>0</x:v>
      </x:c>
      <x:c r="D25" s="382" t="n">
        <x:f>B22+IF(D$4=Assumptions!$B$20,Assumptions!$B$51,0)</x:f>
        <x:v>1000</x:v>
      </x:c>
      <x:c r="E25" s="382" t="n">
        <x:f>C22+IF(E$4=Assumptions!$B$20,Assumptions!$B$51,0)</x:f>
        <x:v>0</x:v>
      </x:c>
      <x:c r="F25" s="382" t="n">
        <x:f>D22+IF(F$4=Assumptions!$B$20,Assumptions!$B$51,0)</x:f>
        <x:v>30000</x:v>
      </x:c>
      <x:c r="G25" s="382" t="n">
        <x:f>E22+IF(G$4=Assumptions!$B$20,Assumptions!$B$51,0)</x:f>
        <x:v>0</x:v>
      </x:c>
      <x:c r="H25" s="382" t="n">
        <x:f>F22+IF(H$4=Assumptions!$B$20,Assumptions!$B$51,0)</x:f>
        <x:v>0</x:v>
      </x:c>
      <x:c r="I25" s="382" t="n">
        <x:f>G22+IF(I$4=Assumptions!$B$20,Assumptions!$B$51,0)</x:f>
        <x:v>0</x:v>
      </x:c>
      <x:c r="J25" s="382" t="n">
        <x:f>H22+IF(J$4=Assumptions!$B$20,Assumptions!$B$51,0)</x:f>
        <x:v>0</x:v>
      </x:c>
      <x:c r="K25" s="382" t="n">
        <x:f>I22+IF(K$4=Assumptions!$B$20,Assumptions!$B$51,0)</x:f>
        <x:v>13800</x:v>
      </x:c>
      <x:c r="L25" s="382" t="n">
        <x:f>J22+IF(L$4=Assumptions!$B$20,Assumptions!$B$51,0)</x:f>
        <x:v>13800</x:v>
      </x:c>
      <x:c r="M25" s="382" t="n">
        <x:f>K22+IF(M$4=Assumptions!$B$20,Assumptions!$B$51,0)</x:f>
        <x:v>13900</x:v>
      </x:c>
      <x:c r="N25" s="382" t="n">
        <x:f>L22+IF(N$4=Assumptions!$B$20,Assumptions!$B$51,0)</x:f>
        <x:v>53100</x:v>
      </x:c>
      <x:c r="O25" s="382" t="n">
        <x:f>M22+IF(O$4=Assumptions!$B$20,Assumptions!$B$51,0)</x:f>
        <x:v>98700</x:v>
      </x:c>
      <x:c r="P25" s="382" t="n">
        <x:f>N22+IF(P$4=Assumptions!$B$20,Assumptions!$B$51,0)</x:f>
        <x:v>142200</x:v>
      </x:c>
      <x:c r="Q25" s="382" t="n">
        <x:f>O22+IF(Q$4=Assumptions!$B$20,Assumptions!$B$51,0)</x:f>
        <x:v>224900</x:v>
      </x:c>
      <x:c r="R25" s="382" t="n">
        <x:f>P22+IF(R$4=Assumptions!$B$20,Assumptions!$B$51,0)</x:f>
        <x:v>235700</x:v>
      </x:c>
      <x:c r="S25" s="382" t="n">
        <x:f>Q22+IF(S$4=Assumptions!$B$20,Assumptions!$B$51,0)</x:f>
        <x:v>309700</x:v>
      </x:c>
      <x:c r="T25" s="382" t="n">
        <x:f>R22+IF(T$4=Assumptions!$B$20,Assumptions!$B$51,0)</x:f>
        <x:v>322700</x:v>
      </x:c>
      <x:c r="U25" s="382" t="n">
        <x:f>S22+IF(U$4=Assumptions!$B$20,Assumptions!$B$51,0)</x:f>
        <x:v>435900</x:v>
      </x:c>
      <x:c r="V25" s="382" t="n">
        <x:f>T22+IF(V$4=Assumptions!$B$20,Assumptions!$B$51,0)</x:f>
        <x:v>455400</x:v>
      </x:c>
      <x:c r="W25" s="227"/>
      <x:c r="X25" s="227"/>
      <x:c r="Y25" s="227"/>
      <x:c r="Z25" s="227"/>
    </x:row>
    <x:row r="26">
      <x:c r="A26" s="327" t="str">
        <x:v>Opening inventory</x:v>
      </x:c>
      <x:c r="B26" s="382" t="n">
        <x:f>0</x:f>
        <x:v>0</x:v>
      </x:c>
      <x:c r="C26" s="382" t="n">
        <x:f>B33</x:f>
        <x:v>0</x:v>
      </x:c>
      <x:c r="D26" s="382" t="n">
        <x:f>C33</x:f>
        <x:v>0</x:v>
      </x:c>
      <x:c r="E26" s="382" t="n">
        <x:f>D33</x:f>
        <x:v>580</x:v>
      </x:c>
      <x:c r="F26" s="382" t="n">
        <x:f>E33</x:f>
        <x:v>0</x:v>
      </x:c>
      <x:c r="G26" s="382" t="n">
        <x:f>F33</x:f>
        <x:v>29160</x:v>
      </x:c>
      <x:c r="H26" s="382" t="n">
        <x:f>G33</x:f>
        <x:v>28320</x:v>
      </x:c>
      <x:c r="I26" s="382" t="n">
        <x:f>H33</x:f>
        <x:v>27480</x:v>
      </x:c>
      <x:c r="J26" s="382" t="n">
        <x:f>I33</x:f>
        <x:v>16852.5</x:v>
      </x:c>
      <x:c r="K26" s="382" t="n">
        <x:f>J33</x:f>
        <x:v>2962.5</x:v>
      </x:c>
      <x:c r="L26" s="382" t="n">
        <x:f>K33</x:f>
        <x:v>2872.5</x:v>
      </x:c>
      <x:c r="M26" s="382" t="n">
        <x:f>L33</x:f>
        <x:v>2782.5</x:v>
      </x:c>
      <x:c r="N26" s="382" t="n">
        <x:f>M33</x:f>
        <x:v>2792.5</x:v>
      </x:c>
      <x:c r="O26" s="382" t="n">
        <x:f>N33</x:f>
        <x:v>9377.5</x:v>
      </x:c>
      <x:c r="P26" s="382" t="n">
        <x:f>O33</x:f>
        <x:v>18062.5</x:v>
      </x:c>
      <x:c r="Q26" s="382" t="n">
        <x:f>P33</x:f>
        <x:v>26747.5</x:v>
      </x:c>
      <x:c r="R26" s="382" t="n">
        <x:f>Q33</x:f>
        <x:v>42007.5</x:v>
      </x:c>
      <x:c r="S26" s="382" t="n">
        <x:f>R33</x:f>
        <x:v>46317.5</x:v>
      </x:c>
      <x:c r="T26" s="382" t="n">
        <x:f>S33</x:f>
        <x:v>59377.5</x:v>
      </x:c>
      <x:c r="U26" s="382" t="n">
        <x:f>T33</x:f>
        <x:v>63687.5</x:v>
      </x:c>
      <x:c r="V26" s="382" t="n">
        <x:f>U33</x:f>
        <x:v>83322.5</x:v>
      </x:c>
      <x:c r="W26" s="227"/>
      <x:c r="X26" s="227"/>
      <x:c r="Y26" s="227"/>
      <x:c r="Z26" s="227"/>
    </x:row>
    <x:row r="27">
      <x:c r="A27" s="327" t="str">
        <x:v>Pilot demand units</x:v>
      </x:c>
      <x:c r="B27" s="382" t="n">
        <x:f>B17*Assumptions!$B$63*Assumptions!$B$8</x:f>
        <x:v>0</x:v>
      </x:c>
      <x:c r="C27" s="382" t="n">
        <x:f>C17*Assumptions!$B$63*Assumptions!$B$8</x:f>
        <x:v>0</x:v>
      </x:c>
      <x:c r="D27" s="382" t="n">
        <x:f>D17*Assumptions!$B$63*Assumptions!$B$8</x:f>
        <x:v>420</x:v>
      </x:c>
      <x:c r="E27" s="382" t="n">
        <x:f>E17*Assumptions!$B$63*Assumptions!$B$8</x:f>
        <x:v>840</x:v>
      </x:c>
      <x:c r="F27" s="382" t="n">
        <x:f>F17*Assumptions!$B$63*Assumptions!$B$8</x:f>
        <x:v>840</x:v>
      </x:c>
      <x:c r="G27" s="382" t="n">
        <x:f>G17*Assumptions!$B$63*Assumptions!$B$8</x:f>
        <x:v>840</x:v>
      </x:c>
      <x:c r="H27" s="382" t="n">
        <x:f>H17*Assumptions!$B$63*Assumptions!$B$8</x:f>
        <x:v>840</x:v>
      </x:c>
      <x:c r="I27" s="382" t="n">
        <x:f>I17*Assumptions!$B$63*Assumptions!$B$8</x:f>
        <x:v>840</x:v>
      </x:c>
      <x:c r="J27" s="382" t="n">
        <x:f>J17*Assumptions!$B$63*Assumptions!$B$8</x:f>
        <x:v>840</x:v>
      </x:c>
      <x:c r="K27" s="382" t="n">
        <x:f>K17*Assumptions!$B$63*Assumptions!$B$8</x:f>
        <x:v>840</x:v>
      </x:c>
      <x:c r="L27" s="382" t="n">
        <x:f>L17*Assumptions!$B$63*Assumptions!$B$8</x:f>
        <x:v>840</x:v>
      </x:c>
      <x:c r="M27" s="382" t="n">
        <x:f>M17*Assumptions!$B$63*Assumptions!$B$8</x:f>
        <x:v>840</x:v>
      </x:c>
      <x:c r="N27" s="382" t="n">
        <x:f>N17*Assumptions!$B$63*Assumptions!$B$8</x:f>
        <x:v>840</x:v>
      </x:c>
      <x:c r="O27" s="382" t="n">
        <x:f>O17*Assumptions!$B$63*Assumptions!$B$8</x:f>
        <x:v>840</x:v>
      </x:c>
      <x:c r="P27" s="382" t="n">
        <x:f>P17*Assumptions!$B$63*Assumptions!$B$8</x:f>
        <x:v>840</x:v>
      </x:c>
      <x:c r="Q27" s="382" t="n">
        <x:f>Q17*Assumptions!$B$63*Assumptions!$B$8</x:f>
        <x:v>840</x:v>
      </x:c>
      <x:c r="R27" s="382" t="n">
        <x:f>R17*Assumptions!$B$63*Assumptions!$B$8</x:f>
        <x:v>840</x:v>
      </x:c>
      <x:c r="S27" s="382" t="n">
        <x:f>S17*Assumptions!$B$63*Assumptions!$B$8</x:f>
        <x:v>840</x:v>
      </x:c>
      <x:c r="T27" s="382" t="n">
        <x:f>T17*Assumptions!$B$63*Assumptions!$B$8</x:f>
        <x:v>840</x:v>
      </x:c>
      <x:c r="U27" s="382" t="n">
        <x:f>U17*Assumptions!$B$63*Assumptions!$B$8</x:f>
        <x:v>840</x:v>
      </x:c>
      <x:c r="V27" s="382" t="n">
        <x:f>V17*Assumptions!$B$63*Assumptions!$B$8</x:f>
        <x:v>840</x:v>
      </x:c>
      <x:c r="W27" s="227"/>
      <x:c r="X27" s="227"/>
      <x:c r="Y27" s="227"/>
      <x:c r="Z27" s="227"/>
    </x:row>
    <x:row r="28">
      <x:c r="A28" s="327" t="str">
        <x:v>Commercial demand units</x:v>
      </x:c>
      <x:c r="B28" s="382" t="n">
        <x:f>B16*Assumptions!$B$62*Assumptions!$B$8</x:f>
        <x:v>0</x:v>
      </x:c>
      <x:c r="C28" s="382" t="n">
        <x:f>C16*Assumptions!$B$62*Assumptions!$B$8</x:f>
        <x:v>0</x:v>
      </x:c>
      <x:c r="D28" s="382" t="n">
        <x:f>D16*Assumptions!$B$62*Assumptions!$B$8</x:f>
        <x:v>0</x:v>
      </x:c>
      <x:c r="E28" s="382" t="n">
        <x:f>E16*Assumptions!$B$62*Assumptions!$B$8</x:f>
        <x:v>0</x:v>
      </x:c>
      <x:c r="F28" s="382" t="n">
        <x:f>F16*Assumptions!$B$62*Assumptions!$B$8</x:f>
        <x:v>0</x:v>
      </x:c>
      <x:c r="G28" s="382" t="n">
        <x:f>G16*Assumptions!$B$62*Assumptions!$B$8</x:f>
        <x:v>0</x:v>
      </x:c>
      <x:c r="H28" s="382" t="n">
        <x:f>H16*Assumptions!$B$62*Assumptions!$B$8</x:f>
        <x:v>0</x:v>
      </x:c>
      <x:c r="I28" s="382" t="n">
        <x:f>I16*Assumptions!$B$62*Assumptions!$B$8</x:f>
        <x:v>9787.5</x:v>
      </x:c>
      <x:c r="J28" s="382" t="n">
        <x:f>J16*Assumptions!$B$62*Assumptions!$B$8</x:f>
        <x:v>13050</x:v>
      </x:c>
      <x:c r="K28" s="382" t="n">
        <x:f>K16*Assumptions!$B$62*Assumptions!$B$8</x:f>
        <x:v>13050</x:v>
      </x:c>
      <x:c r="L28" s="382" t="n">
        <x:f>L16*Assumptions!$B$62*Assumptions!$B$8</x:f>
        <x:v>13050</x:v>
      </x:c>
      <x:c r="M28" s="382" t="n">
        <x:f>M16*Assumptions!$B$62*Assumptions!$B$8</x:f>
        <x:v>13050</x:v>
      </x:c>
      <x:c r="N28" s="382" t="n">
        <x:f>N16*Assumptions!$B$62*Assumptions!$B$8</x:f>
        <x:v>45675</x:v>
      </x:c>
      <x:c r="O28" s="382" t="n">
        <x:f>O16*Assumptions!$B$62*Assumptions!$B$8</x:f>
        <x:v>89175</x:v>
      </x:c>
      <x:c r="P28" s="382" t="n">
        <x:f>P16*Assumptions!$B$62*Assumptions!$B$8</x:f>
        <x:v>132675</x:v>
      </x:c>
      <x:c r="Q28" s="382" t="n">
        <x:f>Q16*Assumptions!$B$62*Assumptions!$B$8</x:f>
        <x:v>208800</x:v>
      </x:c>
      <x:c r="R28" s="382" t="n">
        <x:f>R16*Assumptions!$B$62*Assumptions!$B$8</x:f>
        <x:v>230550</x:v>
      </x:c>
      <x:c r="S28" s="382" t="n">
        <x:f>S16*Assumptions!$B$62*Assumptions!$B$8</x:f>
        <x:v>295800</x:v>
      </x:c>
      <x:c r="T28" s="382" t="n">
        <x:f>T16*Assumptions!$B$62*Assumptions!$B$8</x:f>
        <x:v>317550</x:v>
      </x:c>
      <x:c r="U28" s="382" t="n">
        <x:f>U16*Assumptions!$B$62*Assumptions!$B$8</x:f>
        <x:v>415425</x:v>
      </x:c>
      <x:c r="V28" s="382" t="n">
        <x:f>V16*Assumptions!$B$62*Assumptions!$B$8</x:f>
        <x:v>448050</x:v>
      </x:c>
      <x:c r="W28" s="227"/>
      <x:c r="X28" s="227"/>
      <x:c r="Y28" s="227"/>
      <x:c r="Z28" s="227"/>
    </x:row>
    <x:row r="29">
      <x:c r="A29" s="327" t="str">
        <x:v>Total demand units</x:v>
      </x:c>
      <x:c r="B29" s="382" t="n">
        <x:f>B27+B28</x:f>
        <x:v>0</x:v>
      </x:c>
      <x:c r="C29" s="382" t="n">
        <x:f>C27+C28</x:f>
        <x:v>0</x:v>
      </x:c>
      <x:c r="D29" s="382" t="n">
        <x:f>D27+D28</x:f>
        <x:v>420</x:v>
      </x:c>
      <x:c r="E29" s="382" t="n">
        <x:f>E27+E28</x:f>
        <x:v>840</x:v>
      </x:c>
      <x:c r="F29" s="382" t="n">
        <x:f>F27+F28</x:f>
        <x:v>840</x:v>
      </x:c>
      <x:c r="G29" s="382" t="n">
        <x:f>G27+G28</x:f>
        <x:v>840</x:v>
      </x:c>
      <x:c r="H29" s="382" t="n">
        <x:f>H27+H28</x:f>
        <x:v>840</x:v>
      </x:c>
      <x:c r="I29" s="382" t="n">
        <x:f>I27+I28</x:f>
        <x:v>10627.5</x:v>
      </x:c>
      <x:c r="J29" s="382" t="n">
        <x:f>J27+J28</x:f>
        <x:v>13890</x:v>
      </x:c>
      <x:c r="K29" s="382" t="n">
        <x:f>K27+K28</x:f>
        <x:v>13890</x:v>
      </x:c>
      <x:c r="L29" s="382" t="n">
        <x:f>L27+L28</x:f>
        <x:v>13890</x:v>
      </x:c>
      <x:c r="M29" s="382" t="n">
        <x:f>M27+M28</x:f>
        <x:v>13890</x:v>
      </x:c>
      <x:c r="N29" s="382" t="n">
        <x:f>N27+N28</x:f>
        <x:v>46515</x:v>
      </x:c>
      <x:c r="O29" s="382" t="n">
        <x:f>O27+O28</x:f>
        <x:v>90015</x:v>
      </x:c>
      <x:c r="P29" s="382" t="n">
        <x:f>P27+P28</x:f>
        <x:v>133515</x:v>
      </x:c>
      <x:c r="Q29" s="382" t="n">
        <x:f>Q27+Q28</x:f>
        <x:v>209640</x:v>
      </x:c>
      <x:c r="R29" s="382" t="n">
        <x:f>R27+R28</x:f>
        <x:v>231390</x:v>
      </x:c>
      <x:c r="S29" s="382" t="n">
        <x:f>S27+S28</x:f>
        <x:v>296640</x:v>
      </x:c>
      <x:c r="T29" s="382" t="n">
        <x:f>T27+T28</x:f>
        <x:v>318390</x:v>
      </x:c>
      <x:c r="U29" s="382" t="n">
        <x:f>U27+U28</x:f>
        <x:v>416265</x:v>
      </x:c>
      <x:c r="V29" s="382" t="n">
        <x:f>V27+V28</x:f>
        <x:v>448890</x:v>
      </x:c>
      <x:c r="W29" s="227"/>
      <x:c r="X29" s="227"/>
      <x:c r="Y29" s="227"/>
      <x:c r="Z29" s="227"/>
    </x:row>
    <x:row r="30">
      <x:c r="A30" s="327" t="str">
        <x:v>Pilot units sold</x:v>
      </x:c>
      <x:c r="B30" s="382" t="n">
        <x:f>MIN(B27,B26+B25)</x:f>
        <x:v>0</x:v>
      </x:c>
      <x:c r="C30" s="382" t="n">
        <x:f>MIN(C27,C26+C25)</x:f>
        <x:v>0</x:v>
      </x:c>
      <x:c r="D30" s="382" t="n">
        <x:f>MIN(D27,D26+D25)</x:f>
        <x:v>420</x:v>
      </x:c>
      <x:c r="E30" s="382" t="n">
        <x:f>MIN(E27,E26+E25)</x:f>
        <x:v>580</x:v>
      </x:c>
      <x:c r="F30" s="382" t="n">
        <x:f>MIN(F27,F26+F25)</x:f>
        <x:v>840</x:v>
      </x:c>
      <x:c r="G30" s="382" t="n">
        <x:f>MIN(G27,G26+G25)</x:f>
        <x:v>840</x:v>
      </x:c>
      <x:c r="H30" s="382" t="n">
        <x:f>MIN(H27,H26+H25)</x:f>
        <x:v>840</x:v>
      </x:c>
      <x:c r="I30" s="382" t="n">
        <x:f>MIN(I27,I26+I25)</x:f>
        <x:v>840</x:v>
      </x:c>
      <x:c r="J30" s="382" t="n">
        <x:f>MIN(J27,J26+J25)</x:f>
        <x:v>840</x:v>
      </x:c>
      <x:c r="K30" s="382" t="n">
        <x:f>MIN(K27,K26+K25)</x:f>
        <x:v>840</x:v>
      </x:c>
      <x:c r="L30" s="382" t="n">
        <x:f>MIN(L27,L26+L25)</x:f>
        <x:v>840</x:v>
      </x:c>
      <x:c r="M30" s="382" t="n">
        <x:f>MIN(M27,M26+M25)</x:f>
        <x:v>840</x:v>
      </x:c>
      <x:c r="N30" s="382" t="n">
        <x:f>MIN(N27,N26+N25)</x:f>
        <x:v>840</x:v>
      </x:c>
      <x:c r="O30" s="382" t="n">
        <x:f>MIN(O27,O26+O25)</x:f>
        <x:v>840</x:v>
      </x:c>
      <x:c r="P30" s="382" t="n">
        <x:f>MIN(P27,P26+P25)</x:f>
        <x:v>840</x:v>
      </x:c>
      <x:c r="Q30" s="382" t="n">
        <x:f>MIN(Q27,Q26+Q25)</x:f>
        <x:v>840</x:v>
      </x:c>
      <x:c r="R30" s="382" t="n">
        <x:f>MIN(R27,R26+R25)</x:f>
        <x:v>840</x:v>
      </x:c>
      <x:c r="S30" s="382" t="n">
        <x:f>MIN(S27,S26+S25)</x:f>
        <x:v>840</x:v>
      </x:c>
      <x:c r="T30" s="382" t="n">
        <x:f>MIN(T27,T26+T25)</x:f>
        <x:v>840</x:v>
      </x:c>
      <x:c r="U30" s="382" t="n">
        <x:f>MIN(U27,U26+U25)</x:f>
        <x:v>840</x:v>
      </x:c>
      <x:c r="V30" s="382" t="n">
        <x:f>MIN(V27,V26+V25)</x:f>
        <x:v>840</x:v>
      </x:c>
      <x:c r="W30" s="227"/>
      <x:c r="X30" s="227"/>
      <x:c r="Y30" s="227"/>
      <x:c r="Z30" s="227"/>
    </x:row>
    <x:row r="31">
      <x:c r="A31" s="327" t="str">
        <x:v>Commercial units sold</x:v>
      </x:c>
      <x:c r="B31" s="382" t="n">
        <x:f>MIN(B28,MAX(0,B26+B25-B30))</x:f>
        <x:v>0</x:v>
      </x:c>
      <x:c r="C31" s="382" t="n">
        <x:f>MIN(C28,MAX(0,C26+C25-C30))</x:f>
        <x:v>0</x:v>
      </x:c>
      <x:c r="D31" s="382" t="n">
        <x:f>MIN(D28,MAX(0,D26+D25-D30))</x:f>
        <x:v>0</x:v>
      </x:c>
      <x:c r="E31" s="382" t="n">
        <x:f>MIN(E28,MAX(0,E26+E25-E30))</x:f>
        <x:v>0</x:v>
      </x:c>
      <x:c r="F31" s="382" t="n">
        <x:f>MIN(F28,MAX(0,F26+F25-F30))</x:f>
        <x:v>0</x:v>
      </x:c>
      <x:c r="G31" s="382" t="n">
        <x:f>MIN(G28,MAX(0,G26+G25-G30))</x:f>
        <x:v>0</x:v>
      </x:c>
      <x:c r="H31" s="382" t="n">
        <x:f>MIN(H28,MAX(0,H26+H25-H30))</x:f>
        <x:v>0</x:v>
      </x:c>
      <x:c r="I31" s="382" t="n">
        <x:f>MIN(I28,MAX(0,I26+I25-I30))</x:f>
        <x:v>9787.5</x:v>
      </x:c>
      <x:c r="J31" s="382" t="n">
        <x:f>MIN(J28,MAX(0,J26+J25-J30))</x:f>
        <x:v>13050</x:v>
      </x:c>
      <x:c r="K31" s="382" t="n">
        <x:f>MIN(K28,MAX(0,K26+K25-K30))</x:f>
        <x:v>13050</x:v>
      </x:c>
      <x:c r="L31" s="382" t="n">
        <x:f>MIN(L28,MAX(0,L26+L25-L30))</x:f>
        <x:v>13050</x:v>
      </x:c>
      <x:c r="M31" s="382" t="n">
        <x:f>MIN(M28,MAX(0,M26+M25-M30))</x:f>
        <x:v>13050</x:v>
      </x:c>
      <x:c r="N31" s="382" t="n">
        <x:f>MIN(N28,MAX(0,N26+N25-N30))</x:f>
        <x:v>45675</x:v>
      </x:c>
      <x:c r="O31" s="382" t="n">
        <x:f>MIN(O28,MAX(0,O26+O25-O30))</x:f>
        <x:v>89175</x:v>
      </x:c>
      <x:c r="P31" s="382" t="n">
        <x:f>MIN(P28,MAX(0,P26+P25-P30))</x:f>
        <x:v>132675</x:v>
      </x:c>
      <x:c r="Q31" s="382" t="n">
        <x:f>MIN(Q28,MAX(0,Q26+Q25-Q30))</x:f>
        <x:v>208800</x:v>
      </x:c>
      <x:c r="R31" s="382" t="n">
        <x:f>MIN(R28,MAX(0,R26+R25-R30))</x:f>
        <x:v>230550</x:v>
      </x:c>
      <x:c r="S31" s="382" t="n">
        <x:f>MIN(S28,MAX(0,S26+S25-S30))</x:f>
        <x:v>295800</x:v>
      </x:c>
      <x:c r="T31" s="382" t="n">
        <x:f>MIN(T28,MAX(0,T26+T25-T30))</x:f>
        <x:v>317550</x:v>
      </x:c>
      <x:c r="U31" s="382" t="n">
        <x:f>MIN(U28,MAX(0,U26+U25-U30))</x:f>
        <x:v>415425</x:v>
      </x:c>
      <x:c r="V31" s="382" t="n">
        <x:f>MIN(V28,MAX(0,V26+V25-V30))</x:f>
        <x:v>448050</x:v>
      </x:c>
      <x:c r="W31" s="227"/>
      <x:c r="X31" s="227"/>
      <x:c r="Y31" s="227"/>
      <x:c r="Z31" s="227"/>
    </x:row>
    <x:row r="32">
      <x:c r="A32" s="327" t="str">
        <x:v>Total units sold</x:v>
      </x:c>
      <x:c r="B32" s="382" t="n">
        <x:f>B30+B31</x:f>
        <x:v>0</x:v>
      </x:c>
      <x:c r="C32" s="382" t="n">
        <x:f>C30+C31</x:f>
        <x:v>0</x:v>
      </x:c>
      <x:c r="D32" s="382" t="n">
        <x:f>D30+D31</x:f>
        <x:v>420</x:v>
      </x:c>
      <x:c r="E32" s="382" t="n">
        <x:f>E30+E31</x:f>
        <x:v>580</x:v>
      </x:c>
      <x:c r="F32" s="382" t="n">
        <x:f>F30+F31</x:f>
        <x:v>840</x:v>
      </x:c>
      <x:c r="G32" s="382" t="n">
        <x:f>G30+G31</x:f>
        <x:v>840</x:v>
      </x:c>
      <x:c r="H32" s="382" t="n">
        <x:f>H30+H31</x:f>
        <x:v>840</x:v>
      </x:c>
      <x:c r="I32" s="382" t="n">
        <x:f>I30+I31</x:f>
        <x:v>10627.5</x:v>
      </x:c>
      <x:c r="J32" s="382" t="n">
        <x:f>J30+J31</x:f>
        <x:v>13890</x:v>
      </x:c>
      <x:c r="K32" s="382" t="n">
        <x:f>K30+K31</x:f>
        <x:v>13890</x:v>
      </x:c>
      <x:c r="L32" s="382" t="n">
        <x:f>L30+L31</x:f>
        <x:v>13890</x:v>
      </x:c>
      <x:c r="M32" s="382" t="n">
        <x:f>M30+M31</x:f>
        <x:v>13890</x:v>
      </x:c>
      <x:c r="N32" s="382" t="n">
        <x:f>N30+N31</x:f>
        <x:v>46515</x:v>
      </x:c>
      <x:c r="O32" s="382" t="n">
        <x:f>O30+O31</x:f>
        <x:v>90015</x:v>
      </x:c>
      <x:c r="P32" s="382" t="n">
        <x:f>P30+P31</x:f>
        <x:v>133515</x:v>
      </x:c>
      <x:c r="Q32" s="382" t="n">
        <x:f>Q30+Q31</x:f>
        <x:v>209640</x:v>
      </x:c>
      <x:c r="R32" s="382" t="n">
        <x:f>R30+R31</x:f>
        <x:v>231390</x:v>
      </x:c>
      <x:c r="S32" s="382" t="n">
        <x:f>S30+S31</x:f>
        <x:v>296640</x:v>
      </x:c>
      <x:c r="T32" s="382" t="n">
        <x:f>T30+T31</x:f>
        <x:v>318390</x:v>
      </x:c>
      <x:c r="U32" s="382" t="n">
        <x:f>U30+U31</x:f>
        <x:v>416265</x:v>
      </x:c>
      <x:c r="V32" s="382" t="n">
        <x:f>V30+V31</x:f>
        <x:v>448890</x:v>
      </x:c>
      <x:c r="W32" s="227"/>
      <x:c r="X32" s="227"/>
      <x:c r="Y32" s="227"/>
      <x:c r="Z32" s="227"/>
    </x:row>
    <x:row r="33">
      <x:c r="A33" s="327" t="str">
        <x:v>Closing inventory</x:v>
      </x:c>
      <x:c r="B33" s="382" t="n">
        <x:f>B26+B25-B32</x:f>
        <x:v>0</x:v>
      </x:c>
      <x:c r="C33" s="382" t="n">
        <x:f>C26+C25-C32</x:f>
        <x:v>0</x:v>
      </x:c>
      <x:c r="D33" s="382" t="n">
        <x:f>D26+D25-D32</x:f>
        <x:v>580</x:v>
      </x:c>
      <x:c r="E33" s="382" t="n">
        <x:f>E26+E25-E32</x:f>
        <x:v>0</x:v>
      </x:c>
      <x:c r="F33" s="382" t="n">
        <x:f>F26+F25-F32</x:f>
        <x:v>29160</x:v>
      </x:c>
      <x:c r="G33" s="382" t="n">
        <x:f>G26+G25-G32</x:f>
        <x:v>28320</x:v>
      </x:c>
      <x:c r="H33" s="382" t="n">
        <x:f>H26+H25-H32</x:f>
        <x:v>27480</x:v>
      </x:c>
      <x:c r="I33" s="382" t="n">
        <x:f>I26+I25-I32</x:f>
        <x:v>16852.5</x:v>
      </x:c>
      <x:c r="J33" s="382" t="n">
        <x:f>J26+J25-J32</x:f>
        <x:v>2962.5</x:v>
      </x:c>
      <x:c r="K33" s="382" t="n">
        <x:f>K26+K25-K32</x:f>
        <x:v>2872.5</x:v>
      </x:c>
      <x:c r="L33" s="382" t="n">
        <x:f>L26+L25-L32</x:f>
        <x:v>2782.5</x:v>
      </x:c>
      <x:c r="M33" s="382" t="n">
        <x:f>M26+M25-M32</x:f>
        <x:v>2792.5</x:v>
      </x:c>
      <x:c r="N33" s="382" t="n">
        <x:f>N26+N25-N32</x:f>
        <x:v>9377.5</x:v>
      </x:c>
      <x:c r="O33" s="382" t="n">
        <x:f>O26+O25-O32</x:f>
        <x:v>18062.5</x:v>
      </x:c>
      <x:c r="P33" s="382" t="n">
        <x:f>P26+P25-P32</x:f>
        <x:v>26747.5</x:v>
      </x:c>
      <x:c r="Q33" s="382" t="n">
        <x:f>Q26+Q25-Q32</x:f>
        <x:v>42007.5</x:v>
      </x:c>
      <x:c r="R33" s="382" t="n">
        <x:f>R26+R25-R32</x:f>
        <x:v>46317.5</x:v>
      </x:c>
      <x:c r="S33" s="382" t="n">
        <x:f>S26+S25-S32</x:f>
        <x:v>59377.5</x:v>
      </x:c>
      <x:c r="T33" s="382" t="n">
        <x:f>T26+T25-T32</x:f>
        <x:v>63687.5</x:v>
      </x:c>
      <x:c r="U33" s="382" t="n">
        <x:f>U26+U25-U32</x:f>
        <x:v>83322.5</x:v>
      </x:c>
      <x:c r="V33" s="382" t="n">
        <x:f>V26+V25-V32</x:f>
        <x:v>89832.5</x:v>
      </x:c>
      <x:c r="W33" s="227"/>
      <x:c r="X33" s="227"/>
      <x:c r="Y33" s="227"/>
      <x:c r="Z33" s="227"/>
    </x:row>
    <x:row r="34">
      <x:c r="A34" s="327" t="str">
        <x:v>Pilot vending revenue</x:v>
      </x:c>
      <x:c r="B34" s="379" t="n">
        <x:f>B30*Assumptions!$B$48</x:f>
        <x:v>0</x:v>
      </x:c>
      <x:c r="C34" s="379" t="n">
        <x:f>C30*Assumptions!$B$48</x:f>
        <x:v>0</x:v>
      </x:c>
      <x:c r="D34" s="379" t="n">
        <x:f>D30*Assumptions!$B$48</x:f>
        <x:v>7455</x:v>
      </x:c>
      <x:c r="E34" s="379" t="n">
        <x:f>E30*Assumptions!$B$48</x:f>
        <x:v>10295</x:v>
      </x:c>
      <x:c r="F34" s="379" t="n">
        <x:f>F30*Assumptions!$B$48</x:f>
        <x:v>14910</x:v>
      </x:c>
      <x:c r="G34" s="379" t="n">
        <x:f>G30*Assumptions!$B$48</x:f>
        <x:v>14910</x:v>
      </x:c>
      <x:c r="H34" s="379" t="n">
        <x:f>H30*Assumptions!$B$48</x:f>
        <x:v>14910</x:v>
      </x:c>
      <x:c r="I34" s="379" t="n">
        <x:f>I30*Assumptions!$B$48</x:f>
        <x:v>14910</x:v>
      </x:c>
      <x:c r="J34" s="379" t="n">
        <x:f>J30*Assumptions!$B$48</x:f>
        <x:v>14910</x:v>
      </x:c>
      <x:c r="K34" s="379" t="n">
        <x:f>K30*Assumptions!$B$48</x:f>
        <x:v>14910</x:v>
      </x:c>
      <x:c r="L34" s="379" t="n">
        <x:f>L30*Assumptions!$B$48</x:f>
        <x:v>14910</x:v>
      </x:c>
      <x:c r="M34" s="379" t="n">
        <x:f>M30*Assumptions!$B$48</x:f>
        <x:v>14910</x:v>
      </x:c>
      <x:c r="N34" s="379" t="n">
        <x:f>N30*Assumptions!$B$48</x:f>
        <x:v>14910</x:v>
      </x:c>
      <x:c r="O34" s="379" t="n">
        <x:f>O30*Assumptions!$B$48</x:f>
        <x:v>14910</x:v>
      </x:c>
      <x:c r="P34" s="379" t="n">
        <x:f>P30*Assumptions!$B$48</x:f>
        <x:v>14910</x:v>
      </x:c>
      <x:c r="Q34" s="379" t="n">
        <x:f>Q30*Assumptions!$B$48</x:f>
        <x:v>14910</x:v>
      </x:c>
      <x:c r="R34" s="379" t="n">
        <x:f>R30*Assumptions!$B$48</x:f>
        <x:v>14910</x:v>
      </x:c>
      <x:c r="S34" s="379" t="n">
        <x:f>S30*Assumptions!$B$48</x:f>
        <x:v>14910</x:v>
      </x:c>
      <x:c r="T34" s="379" t="n">
        <x:f>T30*Assumptions!$B$48</x:f>
        <x:v>14910</x:v>
      </x:c>
      <x:c r="U34" s="379" t="n">
        <x:f>U30*Assumptions!$B$48</x:f>
        <x:v>14910</x:v>
      </x:c>
      <x:c r="V34" s="379" t="n">
        <x:f>V30*Assumptions!$B$48</x:f>
        <x:v>14910</x:v>
      </x:c>
      <x:c r="W34" s="227"/>
      <x:c r="X34" s="227"/>
      <x:c r="Y34" s="227"/>
      <x:c r="Z34" s="227"/>
    </x:row>
    <x:row r="35">
      <x:c r="A35" s="327" t="str">
        <x:v>Commercial vending revenue</x:v>
      </x:c>
      <x:c r="B35" s="379" t="n">
        <x:f>B31*Assumptions!$B$48</x:f>
        <x:v>0</x:v>
      </x:c>
      <x:c r="C35" s="379" t="n">
        <x:f>C31*Assumptions!$B$48</x:f>
        <x:v>0</x:v>
      </x:c>
      <x:c r="D35" s="379" t="n">
        <x:f>D31*Assumptions!$B$48</x:f>
        <x:v>0</x:v>
      </x:c>
      <x:c r="E35" s="379" t="n">
        <x:f>E31*Assumptions!$B$48</x:f>
        <x:v>0</x:v>
      </x:c>
      <x:c r="F35" s="379" t="n">
        <x:f>F31*Assumptions!$B$48</x:f>
        <x:v>0</x:v>
      </x:c>
      <x:c r="G35" s="379" t="n">
        <x:f>G31*Assumptions!$B$48</x:f>
        <x:v>0</x:v>
      </x:c>
      <x:c r="H35" s="379" t="n">
        <x:f>H31*Assumptions!$B$48</x:f>
        <x:v>0</x:v>
      </x:c>
      <x:c r="I35" s="379" t="n">
        <x:f>I31*Assumptions!$B$48</x:f>
        <x:v>173728.125</x:v>
      </x:c>
      <x:c r="J35" s="379" t="n">
        <x:f>J31*Assumptions!$B$48</x:f>
        <x:v>231637.5</x:v>
      </x:c>
      <x:c r="K35" s="379" t="n">
        <x:f>K31*Assumptions!$B$48</x:f>
        <x:v>231637.5</x:v>
      </x:c>
      <x:c r="L35" s="379" t="n">
        <x:f>L31*Assumptions!$B$48</x:f>
        <x:v>231637.5</x:v>
      </x:c>
      <x:c r="M35" s="379" t="n">
        <x:f>M31*Assumptions!$B$48</x:f>
        <x:v>231637.5</x:v>
      </x:c>
      <x:c r="N35" s="379" t="n">
        <x:f>N31*Assumptions!$B$48</x:f>
        <x:v>810731.25</x:v>
      </x:c>
      <x:c r="O35" s="379" t="n">
        <x:f>O31*Assumptions!$B$48</x:f>
        <x:v>1582856.25</x:v>
      </x:c>
      <x:c r="P35" s="379" t="n">
        <x:f>P31*Assumptions!$B$48</x:f>
        <x:v>2354981.25</x:v>
      </x:c>
      <x:c r="Q35" s="379" t="n">
        <x:f>Q31*Assumptions!$B$48</x:f>
        <x:v>3706200</x:v>
      </x:c>
      <x:c r="R35" s="379" t="n">
        <x:f>R31*Assumptions!$B$48</x:f>
        <x:v>4092262.5</x:v>
      </x:c>
      <x:c r="S35" s="379" t="n">
        <x:f>S31*Assumptions!$B$48</x:f>
        <x:v>5250450</x:v>
      </x:c>
      <x:c r="T35" s="379" t="n">
        <x:f>T31*Assumptions!$B$48</x:f>
        <x:v>5636512.5</x:v>
      </x:c>
      <x:c r="U35" s="379" t="n">
        <x:f>U31*Assumptions!$B$48</x:f>
        <x:v>7373793.75</x:v>
      </x:c>
      <x:c r="V35" s="379" t="n">
        <x:f>V31*Assumptions!$B$48</x:f>
        <x:v>7952887.5</x:v>
      </x:c>
      <x:c r="W35" s="227"/>
      <x:c r="X35" s="227"/>
      <x:c r="Y35" s="227"/>
      <x:c r="Z35" s="227"/>
    </x:row>
    <x:row r="36">
      <x:c r="A36" s="337" t="str">
        <x:v>Total vending revenue</x:v>
      </x:c>
      <x:c r="B36" s="387" t="n">
        <x:f>B34+B35</x:f>
        <x:v>0</x:v>
      </x:c>
      <x:c r="C36" s="387" t="n">
        <x:f>C34+C35</x:f>
        <x:v>0</x:v>
      </x:c>
      <x:c r="D36" s="387" t="n">
        <x:f>D34+D35</x:f>
        <x:v>7455</x:v>
      </x:c>
      <x:c r="E36" s="387" t="n">
        <x:f>E34+E35</x:f>
        <x:v>10295</x:v>
      </x:c>
      <x:c r="F36" s="387" t="n">
        <x:f>F34+F35</x:f>
        <x:v>14910</x:v>
      </x:c>
      <x:c r="G36" s="387" t="n">
        <x:f>G34+G35</x:f>
        <x:v>14910</x:v>
      </x:c>
      <x:c r="H36" s="387" t="n">
        <x:f>H34+H35</x:f>
        <x:v>14910</x:v>
      </x:c>
      <x:c r="I36" s="387" t="n">
        <x:f>I34+I35</x:f>
        <x:v>188638.125</x:v>
      </x:c>
      <x:c r="J36" s="387" t="n">
        <x:f>J34+J35</x:f>
        <x:v>246547.5</x:v>
      </x:c>
      <x:c r="K36" s="387" t="n">
        <x:f>K34+K35</x:f>
        <x:v>246547.5</x:v>
      </x:c>
      <x:c r="L36" s="387" t="n">
        <x:f>L34+L35</x:f>
        <x:v>246547.5</x:v>
      </x:c>
      <x:c r="M36" s="387" t="n">
        <x:f>M34+M35</x:f>
        <x:v>246547.5</x:v>
      </x:c>
      <x:c r="N36" s="387" t="n">
        <x:f>N34+N35</x:f>
        <x:v>825641.25</x:v>
      </x:c>
      <x:c r="O36" s="387" t="n">
        <x:f>O34+O35</x:f>
        <x:v>1597766.25</x:v>
      </x:c>
      <x:c r="P36" s="387" t="n">
        <x:f>P34+P35</x:f>
        <x:v>2369891.25</x:v>
      </x:c>
      <x:c r="Q36" s="387" t="n">
        <x:f>Q34+Q35</x:f>
        <x:v>3721110</x:v>
      </x:c>
      <x:c r="R36" s="387" t="n">
        <x:f>R34+R35</x:f>
        <x:v>4107172.5</x:v>
      </x:c>
      <x:c r="S36" s="387" t="n">
        <x:f>S34+S35</x:f>
        <x:v>5265360</x:v>
      </x:c>
      <x:c r="T36" s="387" t="n">
        <x:f>T34+T35</x:f>
        <x:v>5651422.5</x:v>
      </x:c>
      <x:c r="U36" s="387" t="n">
        <x:f>U34+U35</x:f>
        <x:v>7388703.75</x:v>
      </x:c>
      <x:c r="V36" s="387" t="n">
        <x:f>V34+V35</x:f>
        <x:v>7967797.5</x:v>
      </x:c>
      <x:c r="W36" s="227"/>
      <x:c r="X36" s="227"/>
      <x:c r="Y36" s="227"/>
      <x:c r="Z36" s="227"/>
    </x:row>
    <x:row r="37">
      <x:c r="A37" s="327" t="str">
        <x:v>Manufacturing COGS (P&amp;L)</x:v>
      </x:c>
      <x:c r="B37" s="379" t="n">
        <x:f>B32*Assumptions!$B$50</x:f>
        <x:v>0</x:v>
      </x:c>
      <x:c r="C37" s="379" t="n">
        <x:f>C32*Assumptions!$B$50</x:f>
        <x:v>0</x:v>
      </x:c>
      <x:c r="D37" s="379" t="n">
        <x:f>D32*Assumptions!$B$50</x:f>
        <x:v>1458.6599999999999</x:v>
      </x:c>
      <x:c r="E37" s="379" t="n">
        <x:f>E32*Assumptions!$B$50</x:f>
        <x:v>2014.34</x:v>
      </x:c>
      <x:c r="F37" s="379" t="n">
        <x:f>F32*Assumptions!$B$50</x:f>
        <x:v>2917.3199999999997</x:v>
      </x:c>
      <x:c r="G37" s="379" t="n">
        <x:f>G32*Assumptions!$B$50</x:f>
        <x:v>2917.3199999999997</x:v>
      </x:c>
      <x:c r="H37" s="379" t="n">
        <x:f>H32*Assumptions!$B$50</x:f>
        <x:v>2917.3199999999997</x:v>
      </x:c>
      <x:c r="I37" s="379" t="n">
        <x:f>I32*Assumptions!$B$50</x:f>
        <x:v>36909.307499999995</x:v>
      </x:c>
      <x:c r="J37" s="379" t="n">
        <x:f>J32*Assumptions!$B$50</x:f>
        <x:v>48239.97</x:v>
      </x:c>
      <x:c r="K37" s="379" t="n">
        <x:f>K32*Assumptions!$B$50</x:f>
        <x:v>48239.97</x:v>
      </x:c>
      <x:c r="L37" s="379" t="n">
        <x:f>L32*Assumptions!$B$50</x:f>
        <x:v>48239.97</x:v>
      </x:c>
      <x:c r="M37" s="379" t="n">
        <x:f>M32*Assumptions!$B$50</x:f>
        <x:v>48239.97</x:v>
      </x:c>
      <x:c r="N37" s="379" t="n">
        <x:f>N32*Assumptions!$B$50</x:f>
        <x:v>161546.595</x:v>
      </x:c>
      <x:c r="O37" s="379" t="n">
        <x:f>O32*Assumptions!$B$50</x:f>
        <x:v>312622.095</x:v>
      </x:c>
      <x:c r="P37" s="379" t="n">
        <x:f>P32*Assumptions!$B$50</x:f>
        <x:v>463697.595</x:v>
      </x:c>
      <x:c r="Q37" s="379" t="n">
        <x:f>Q32*Assumptions!$B$50</x:f>
        <x:v>728079.72</x:v>
      </x:c>
      <x:c r="R37" s="379" t="n">
        <x:f>R32*Assumptions!$B$50</x:f>
        <x:v>803617.47</x:v>
      </x:c>
      <x:c r="S37" s="379" t="n">
        <x:f>S32*Assumptions!$B$50</x:f>
        <x:v>1030230.72</x:v>
      </x:c>
      <x:c r="T37" s="379" t="n">
        <x:f>T32*Assumptions!$B$50</x:f>
        <x:v>1105768.47</x:v>
      </x:c>
      <x:c r="U37" s="379" t="n">
        <x:f>U32*Assumptions!$B$50</x:f>
        <x:v>1445688.345</x:v>
      </x:c>
      <x:c r="V37" s="379" t="n">
        <x:f>V32*Assumptions!$B$50</x:f>
        <x:v>1558994.97</x:v>
      </x:c>
      <x:c r="W37" s="227"/>
      <x:c r="X37" s="227"/>
      <x:c r="Y37" s="227"/>
      <x:c r="Z37" s="227"/>
    </x:row>
    <x:row r="38">
      <x:c r="A38" s="327" t="str">
        <x:v>Location revenue share</x:v>
      </x:c>
      <x:c r="B38" s="379" t="n">
        <x:f>B35*Assumptions!$B$54</x:f>
        <x:v>0</x:v>
      </x:c>
      <x:c r="C38" s="379" t="n">
        <x:f>C35*Assumptions!$B$54</x:f>
        <x:v>0</x:v>
      </x:c>
      <x:c r="D38" s="379" t="n">
        <x:f>D35*Assumptions!$B$54</x:f>
        <x:v>0</x:v>
      </x:c>
      <x:c r="E38" s="379" t="n">
        <x:f>E35*Assumptions!$B$54</x:f>
        <x:v>0</x:v>
      </x:c>
      <x:c r="F38" s="379" t="n">
        <x:f>F35*Assumptions!$B$54</x:f>
        <x:v>0</x:v>
      </x:c>
      <x:c r="G38" s="379" t="n">
        <x:f>G35*Assumptions!$B$54</x:f>
        <x:v>0</x:v>
      </x:c>
      <x:c r="H38" s="379" t="n">
        <x:f>H35*Assumptions!$B$54</x:f>
        <x:v>0</x:v>
      </x:c>
      <x:c r="I38" s="379" t="n">
        <x:f>I35*Assumptions!$B$54</x:f>
        <x:v>26059.21875</x:v>
      </x:c>
      <x:c r="J38" s="379" t="n">
        <x:f>J35*Assumptions!$B$54</x:f>
        <x:v>34745.625</x:v>
      </x:c>
      <x:c r="K38" s="379" t="n">
        <x:f>K35*Assumptions!$B$54</x:f>
        <x:v>34745.625</x:v>
      </x:c>
      <x:c r="L38" s="379" t="n">
        <x:f>L35*Assumptions!$B$54</x:f>
        <x:v>34745.625</x:v>
      </x:c>
      <x:c r="M38" s="379" t="n">
        <x:f>M35*Assumptions!$B$54</x:f>
        <x:v>34745.625</x:v>
      </x:c>
      <x:c r="N38" s="379" t="n">
        <x:f>N35*Assumptions!$B$54</x:f>
        <x:v>121609.6875</x:v>
      </x:c>
      <x:c r="O38" s="379" t="n">
        <x:f>O35*Assumptions!$B$54</x:f>
        <x:v>237428.4375</x:v>
      </x:c>
      <x:c r="P38" s="379" t="n">
        <x:f>P35*Assumptions!$B$54</x:f>
        <x:v>353247.1875</x:v>
      </x:c>
      <x:c r="Q38" s="379" t="n">
        <x:f>Q35*Assumptions!$B$54</x:f>
        <x:v>555930</x:v>
      </x:c>
      <x:c r="R38" s="379" t="n">
        <x:f>R35*Assumptions!$B$54</x:f>
        <x:v>613839.375</x:v>
      </x:c>
      <x:c r="S38" s="379" t="n">
        <x:f>S35*Assumptions!$B$54</x:f>
        <x:v>787567.5</x:v>
      </x:c>
      <x:c r="T38" s="379" t="n">
        <x:f>T35*Assumptions!$B$54</x:f>
        <x:v>845476.875</x:v>
      </x:c>
      <x:c r="U38" s="379" t="n">
        <x:f>U35*Assumptions!$B$54</x:f>
        <x:v>1106069.0625</x:v>
      </x:c>
      <x:c r="V38" s="379" t="n">
        <x:f>V35*Assumptions!$B$54</x:f>
        <x:v>1192933.125</x:v>
      </x:c>
      <x:c r="W38" s="227"/>
      <x:c r="X38" s="227"/>
      <x:c r="Y38" s="227"/>
      <x:c r="Z38" s="227"/>
    </x:row>
    <x:row r="39">
      <x:c r="A39" s="327" t="str">
        <x:v>Logistics expense (P&amp;L)</x:v>
      </x:c>
      <x:c r="B39" s="379" t="n">
        <x:f>B36*Assumptions!$B$56</x:f>
        <x:v>0</x:v>
      </x:c>
      <x:c r="C39" s="379" t="n">
        <x:f>C36*Assumptions!$B$56</x:f>
        <x:v>0</x:v>
      </x:c>
      <x:c r="D39" s="379" t="n">
        <x:f>D36*Assumptions!$B$56</x:f>
        <x:v>521.85</x:v>
      </x:c>
      <x:c r="E39" s="379" t="n">
        <x:f>E36*Assumptions!$B$56</x:f>
        <x:v>720.6500000000001</x:v>
      </x:c>
      <x:c r="F39" s="379" t="n">
        <x:f>F36*Assumptions!$B$56</x:f>
        <x:v>1043.7</x:v>
      </x:c>
      <x:c r="G39" s="379" t="n">
        <x:f>G36*Assumptions!$B$56</x:f>
        <x:v>1043.7</x:v>
      </x:c>
      <x:c r="H39" s="379" t="n">
        <x:f>H36*Assumptions!$B$56</x:f>
        <x:v>1043.7</x:v>
      </x:c>
      <x:c r="I39" s="379" t="n">
        <x:f>I36*Assumptions!$B$56</x:f>
        <x:v>13204.66875</x:v>
      </x:c>
      <x:c r="J39" s="379" t="n">
        <x:f>J36*Assumptions!$B$56</x:f>
        <x:v>17258.325</x:v>
      </x:c>
      <x:c r="K39" s="379" t="n">
        <x:f>K36*Assumptions!$B$56</x:f>
        <x:v>17258.325</x:v>
      </x:c>
      <x:c r="L39" s="379" t="n">
        <x:f>L36*Assumptions!$B$56</x:f>
        <x:v>17258.325</x:v>
      </x:c>
      <x:c r="M39" s="379" t="n">
        <x:f>M36*Assumptions!$B$56</x:f>
        <x:v>17258.325</x:v>
      </x:c>
      <x:c r="N39" s="379" t="n">
        <x:f>N36*Assumptions!$B$56</x:f>
        <x:v>57794.887500000004</x:v>
      </x:c>
      <x:c r="O39" s="379" t="n">
        <x:f>O36*Assumptions!$B$56</x:f>
        <x:v>111843.63750000001</x:v>
      </x:c>
      <x:c r="P39" s="379" t="n">
        <x:f>P36*Assumptions!$B$56</x:f>
        <x:v>165892.3875</x:v>
      </x:c>
      <x:c r="Q39" s="379" t="n">
        <x:f>Q36*Assumptions!$B$56</x:f>
        <x:v>260477.7</x:v>
      </x:c>
      <x:c r="R39" s="379" t="n">
        <x:f>R36*Assumptions!$B$56</x:f>
        <x:v>287502.075</x:v>
      </x:c>
      <x:c r="S39" s="379" t="n">
        <x:f>S36*Assumptions!$B$56</x:f>
        <x:v>368575.2</x:v>
      </x:c>
      <x:c r="T39" s="379" t="n">
        <x:f>T36*Assumptions!$B$56</x:f>
        <x:v>395599.575</x:v>
      </x:c>
      <x:c r="U39" s="379" t="n">
        <x:f>U36*Assumptions!$B$56</x:f>
        <x:v>517209.26250000007</x:v>
      </x:c>
      <x:c r="V39" s="379" t="n">
        <x:f>V36*Assumptions!$B$56</x:f>
        <x:v>557745.8250000001</x:v>
      </x:c>
      <x:c r="W39" s="227"/>
      <x:c r="X39" s="227"/>
      <x:c r="Y39" s="227"/>
      <x:c r="Z39" s="227"/>
    </x:row>
    <x:row r="40">
      <x:c r="A40" s="327" t="str">
        <x:v>Payment processing</x:v>
      </x:c>
      <x:c r="B40" s="379" t="n">
        <x:f>B36*Assumptions!$B$83</x:f>
        <x:v>0</x:v>
      </x:c>
      <x:c r="C40" s="379" t="n">
        <x:f>C36*Assumptions!$B$83</x:f>
        <x:v>0</x:v>
      </x:c>
      <x:c r="D40" s="379" t="n">
        <x:f>D36*Assumptions!$B$83</x:f>
        <x:v>134.19</x:v>
      </x:c>
      <x:c r="E40" s="379" t="n">
        <x:f>E36*Assumptions!$B$83</x:f>
        <x:v>185.30999999999997</x:v>
      </x:c>
      <x:c r="F40" s="379" t="n">
        <x:f>F36*Assumptions!$B$83</x:f>
        <x:v>268.38</x:v>
      </x:c>
      <x:c r="G40" s="379" t="n">
        <x:f>G36*Assumptions!$B$83</x:f>
        <x:v>268.38</x:v>
      </x:c>
      <x:c r="H40" s="379" t="n">
        <x:f>H36*Assumptions!$B$83</x:f>
        <x:v>268.38</x:v>
      </x:c>
      <x:c r="I40" s="379" t="n">
        <x:f>I36*Assumptions!$B$83</x:f>
        <x:v>3395.48625</x:v>
      </x:c>
      <x:c r="J40" s="379" t="n">
        <x:f>J36*Assumptions!$B$83</x:f>
        <x:v>4437.855</x:v>
      </x:c>
      <x:c r="K40" s="379" t="n">
        <x:f>K36*Assumptions!$B$83</x:f>
        <x:v>4437.855</x:v>
      </x:c>
      <x:c r="L40" s="379" t="n">
        <x:f>L36*Assumptions!$B$83</x:f>
        <x:v>4437.855</x:v>
      </x:c>
      <x:c r="M40" s="379" t="n">
        <x:f>M36*Assumptions!$B$83</x:f>
        <x:v>4437.855</x:v>
      </x:c>
      <x:c r="N40" s="379" t="n">
        <x:f>N36*Assumptions!$B$83</x:f>
        <x:v>14861.5425</x:v>
      </x:c>
      <x:c r="O40" s="379" t="n">
        <x:f>O36*Assumptions!$B$83</x:f>
        <x:v>28759.7925</x:v>
      </x:c>
      <x:c r="P40" s="379" t="n">
        <x:f>P36*Assumptions!$B$83</x:f>
        <x:v>42658.042499999996</x:v>
      </x:c>
      <x:c r="Q40" s="379" t="n">
        <x:f>Q36*Assumptions!$B$83</x:f>
        <x:v>66979.98</x:v>
      </x:c>
      <x:c r="R40" s="379" t="n">
        <x:f>R36*Assumptions!$B$83</x:f>
        <x:v>73929.105</x:v>
      </x:c>
      <x:c r="S40" s="379" t="n">
        <x:f>S36*Assumptions!$B$83</x:f>
        <x:v>94776.48</x:v>
      </x:c>
      <x:c r="T40" s="379" t="n">
        <x:f>T36*Assumptions!$B$83</x:f>
        <x:v>101725.605</x:v>
      </x:c>
      <x:c r="U40" s="379" t="n">
        <x:f>U36*Assumptions!$B$83</x:f>
        <x:v>132996.66749999998</x:v>
      </x:c>
      <x:c r="V40" s="379" t="n">
        <x:f>V36*Assumptions!$B$83</x:f>
        <x:v>143420.35499999998</x:v>
      </x:c>
      <x:c r="W40" s="227"/>
      <x:c r="X40" s="227"/>
      <x:c r="Y40" s="227"/>
      <x:c r="Z40" s="227"/>
    </x:row>
    <x:row r="41">
      <x:c r="A41" s="327" t="str">
        <x:v>Handling / replenishment</x:v>
      </x:c>
      <x:c r="B41" s="379" t="n">
        <x:f>B32*Assumptions!$B$58</x:f>
        <x:v>0</x:v>
      </x:c>
      <x:c r="C41" s="379" t="n">
        <x:f>C32*Assumptions!$B$58</x:f>
        <x:v>0</x:v>
      </x:c>
      <x:c r="D41" s="379" t="n">
        <x:f>D32*Assumptions!$B$58</x:f>
        <x:v>105</x:v>
      </x:c>
      <x:c r="E41" s="379" t="n">
        <x:f>E32*Assumptions!$B$58</x:f>
        <x:v>145</x:v>
      </x:c>
      <x:c r="F41" s="379" t="n">
        <x:f>F32*Assumptions!$B$58</x:f>
        <x:v>210</x:v>
      </x:c>
      <x:c r="G41" s="379" t="n">
        <x:f>G32*Assumptions!$B$58</x:f>
        <x:v>210</x:v>
      </x:c>
      <x:c r="H41" s="379" t="n">
        <x:f>H32*Assumptions!$B$58</x:f>
        <x:v>210</x:v>
      </x:c>
      <x:c r="I41" s="379" t="n">
        <x:f>I32*Assumptions!$B$58</x:f>
        <x:v>2656.875</x:v>
      </x:c>
      <x:c r="J41" s="379" t="n">
        <x:f>J32*Assumptions!$B$58</x:f>
        <x:v>3472.5</x:v>
      </x:c>
      <x:c r="K41" s="379" t="n">
        <x:f>K32*Assumptions!$B$58</x:f>
        <x:v>3472.5</x:v>
      </x:c>
      <x:c r="L41" s="379" t="n">
        <x:f>L32*Assumptions!$B$58</x:f>
        <x:v>3472.5</x:v>
      </x:c>
      <x:c r="M41" s="379" t="n">
        <x:f>M32*Assumptions!$B$58</x:f>
        <x:v>3472.5</x:v>
      </x:c>
      <x:c r="N41" s="379" t="n">
        <x:f>N32*Assumptions!$B$58</x:f>
        <x:v>11628.75</x:v>
      </x:c>
      <x:c r="O41" s="379" t="n">
        <x:f>O32*Assumptions!$B$58</x:f>
        <x:v>22503.75</x:v>
      </x:c>
      <x:c r="P41" s="379" t="n">
        <x:f>P32*Assumptions!$B$58</x:f>
        <x:v>33378.75</x:v>
      </x:c>
      <x:c r="Q41" s="379" t="n">
        <x:f>Q32*Assumptions!$B$58</x:f>
        <x:v>52410</x:v>
      </x:c>
      <x:c r="R41" s="379" t="n">
        <x:f>R32*Assumptions!$B$58</x:f>
        <x:v>57847.5</x:v>
      </x:c>
      <x:c r="S41" s="379" t="n">
        <x:f>S32*Assumptions!$B$58</x:f>
        <x:v>74160</x:v>
      </x:c>
      <x:c r="T41" s="379" t="n">
        <x:f>T32*Assumptions!$B$58</x:f>
        <x:v>79597.5</x:v>
      </x:c>
      <x:c r="U41" s="379" t="n">
        <x:f>U32*Assumptions!$B$58</x:f>
        <x:v>104066.25</x:v>
      </x:c>
      <x:c r="V41" s="379" t="n">
        <x:f>V32*Assumptions!$B$58</x:f>
        <x:v>112222.5</x:v>
      </x:c>
      <x:c r="W41" s="227"/>
      <x:c r="X41" s="227"/>
      <x:c r="Y41" s="227"/>
      <x:c r="Z41" s="227"/>
    </x:row>
    <x:row r="42">
      <x:c r="A42" s="337" t="str">
        <x:v>Vending contribution</x:v>
      </x:c>
      <x:c r="B42" s="387" t="n">
        <x:f>B36-SUM(B37:B41)</x:f>
        <x:v>0</x:v>
      </x:c>
      <x:c r="C42" s="387" t="n">
        <x:f>C36-SUM(C37:C41)</x:f>
        <x:v>0</x:v>
      </x:c>
      <x:c r="D42" s="387" t="n">
        <x:f>D36-SUM(D37:D41)</x:f>
        <x:v>5235.3</x:v>
      </x:c>
      <x:c r="E42" s="387" t="n">
        <x:f>E36-SUM(E37:E41)</x:f>
        <x:v>7229.700000000001</x:v>
      </x:c>
      <x:c r="F42" s="387" t="n">
        <x:f>F36-SUM(F37:F41)</x:f>
        <x:v>10470.6</x:v>
      </x:c>
      <x:c r="G42" s="387" t="n">
        <x:f>G36-SUM(G37:G41)</x:f>
        <x:v>10470.6</x:v>
      </x:c>
      <x:c r="H42" s="387" t="n">
        <x:f>H36-SUM(H37:H41)</x:f>
        <x:v>10470.6</x:v>
      </x:c>
      <x:c r="I42" s="387" t="n">
        <x:f>I36-SUM(I37:I41)</x:f>
        <x:v>106412.56875</x:v>
      </x:c>
      <x:c r="J42" s="387" t="n">
        <x:f>J36-SUM(J37:J41)</x:f>
        <x:v>138393.225</x:v>
      </x:c>
      <x:c r="K42" s="387" t="n">
        <x:f>K36-SUM(K37:K41)</x:f>
        <x:v>138393.225</x:v>
      </x:c>
      <x:c r="L42" s="387" t="n">
        <x:f>L36-SUM(L37:L41)</x:f>
        <x:v>138393.225</x:v>
      </x:c>
      <x:c r="M42" s="387" t="n">
        <x:f>M36-SUM(M37:M41)</x:f>
        <x:v>138393.225</x:v>
      </x:c>
      <x:c r="N42" s="387" t="n">
        <x:f>N36-SUM(N37:N41)</x:f>
        <x:v>458199.78750000003</x:v>
      </x:c>
      <x:c r="O42" s="387" t="n">
        <x:f>O36-SUM(O37:O41)</x:f>
        <x:v>884608.5375000001</x:v>
      </x:c>
      <x:c r="P42" s="387" t="n">
        <x:f>P36-SUM(P37:P41)</x:f>
        <x:v>1311017.2875</x:v>
      </x:c>
      <x:c r="Q42" s="387" t="n">
        <x:f>Q36-SUM(Q37:Q41)</x:f>
        <x:v>2057232.6</x:v>
      </x:c>
      <x:c r="R42" s="387" t="n">
        <x:f>R36-SUM(R37:R41)</x:f>
        <x:v>2270436.975</x:v>
      </x:c>
      <x:c r="S42" s="387" t="n">
        <x:f>S36-SUM(S37:S41)</x:f>
        <x:v>2910050.1</x:v>
      </x:c>
      <x:c r="T42" s="387" t="n">
        <x:f>T36-SUM(T37:T41)</x:f>
        <x:v>3123254.475</x:v>
      </x:c>
      <x:c r="U42" s="387" t="n">
        <x:f>U36-SUM(U37:U41)</x:f>
        <x:v>4082674.1625</x:v>
      </x:c>
      <x:c r="V42" s="387" t="n">
        <x:f>V36-SUM(V37:V41)</x:f>
        <x:v>4402480.725</x:v>
      </x:c>
      <x:c r="W42" s="227"/>
      <x:c r="X42" s="227"/>
      <x:c r="Y42" s="227"/>
      <x:c r="Z42" s="227"/>
    </x:row>
    <x:row r="43">
      <x:c r="A43" s="327"/>
      <x:c r="B43" s="385"/>
      <x:c r="C43" s="385"/>
      <x:c r="D43" s="385"/>
      <x:c r="E43" s="385"/>
      <x:c r="F43" s="385"/>
      <x:c r="G43" s="385"/>
      <x:c r="H43" s="385"/>
      <x:c r="I43" s="385"/>
      <x:c r="J43" s="385"/>
      <x:c r="K43" s="385"/>
      <x:c r="L43" s="385"/>
      <x:c r="M43" s="385"/>
      <x:c r="N43" s="385"/>
      <x:c r="O43" s="385"/>
      <x:c r="P43" s="385"/>
      <x:c r="Q43" s="385"/>
      <x:c r="R43" s="385"/>
      <x:c r="S43" s="385"/>
      <x:c r="T43" s="385"/>
      <x:c r="U43" s="385"/>
      <x:c r="V43" s="385"/>
      <x:c r="W43" s="227"/>
      <x:c r="X43" s="227"/>
      <x:c r="Y43" s="227"/>
      <x:c r="Z43" s="227"/>
    </x:row>
    <x:row r="44" ht="23" customHeight="1">
      <x:c r="A44" s="335" t="str">
        <x:v>FOOTBALL-CLUB MEMBER CAMPAIGNS</x:v>
      </x:c>
      <x:c r="B44" s="386" t="str">
        <x:v>FOOTBALL-CLUB MEMBER CAMPAIGNS</x:v>
      </x:c>
      <x:c r="C44" s="386" t="str">
        <x:v>FOOTBALL-CLUB MEMBER CAMPAIGNS</x:v>
      </x:c>
      <x:c r="D44" s="386" t="str">
        <x:v>FOOTBALL-CLUB MEMBER CAMPAIGNS</x:v>
      </x:c>
      <x:c r="E44" s="386" t="str">
        <x:v>FOOTBALL-CLUB MEMBER CAMPAIGNS</x:v>
      </x:c>
      <x:c r="F44" s="386" t="str">
        <x:v>FOOTBALL-CLUB MEMBER CAMPAIGNS</x:v>
      </x:c>
      <x:c r="G44" s="386" t="str">
        <x:v>FOOTBALL-CLUB MEMBER CAMPAIGNS</x:v>
      </x:c>
      <x:c r="H44" s="386" t="str">
        <x:v>FOOTBALL-CLUB MEMBER CAMPAIGNS</x:v>
      </x:c>
      <x:c r="I44" s="386" t="str">
        <x:v>FOOTBALL-CLUB MEMBER CAMPAIGNS</x:v>
      </x:c>
      <x:c r="J44" s="386" t="str">
        <x:v>FOOTBALL-CLUB MEMBER CAMPAIGNS</x:v>
      </x:c>
      <x:c r="K44" s="386" t="str">
        <x:v>FOOTBALL-CLUB MEMBER CAMPAIGNS</x:v>
      </x:c>
      <x:c r="L44" s="386" t="str">
        <x:v>FOOTBALL-CLUB MEMBER CAMPAIGNS</x:v>
      </x:c>
      <x:c r="M44" s="386" t="str">
        <x:v>FOOTBALL-CLUB MEMBER CAMPAIGNS</x:v>
      </x:c>
      <x:c r="N44" s="386" t="str">
        <x:v>FOOTBALL-CLUB MEMBER CAMPAIGNS</x:v>
      </x:c>
      <x:c r="O44" s="386" t="str">
        <x:v>FOOTBALL-CLUB MEMBER CAMPAIGNS</x:v>
      </x:c>
      <x:c r="P44" s="386" t="str">
        <x:v>FOOTBALL-CLUB MEMBER CAMPAIGNS</x:v>
      </x:c>
      <x:c r="Q44" s="386" t="str">
        <x:v>FOOTBALL-CLUB MEMBER CAMPAIGNS</x:v>
      </x:c>
      <x:c r="R44" s="386" t="str">
        <x:v>FOOTBALL-CLUB MEMBER CAMPAIGNS</x:v>
      </x:c>
      <x:c r="S44" s="386" t="str">
        <x:v>FOOTBALL-CLUB MEMBER CAMPAIGNS</x:v>
      </x:c>
      <x:c r="T44" s="386" t="str">
        <x:v>FOOTBALL-CLUB MEMBER CAMPAIGNS</x:v>
      </x:c>
      <x:c r="U44" s="386" t="str">
        <x:v>FOOTBALL-CLUB MEMBER CAMPAIGNS</x:v>
      </x:c>
      <x:c r="V44" s="386" t="str">
        <x:v>FOOTBALL-CLUB MEMBER CAMPAIGNS</x:v>
      </x:c>
      <x:c r="W44" s="227"/>
      <x:c r="X44" s="227"/>
      <x:c r="Y44" s="227"/>
      <x:c r="Z44" s="227"/>
    </x:row>
    <x:row r="45">
      <x:c r="A45" s="327" t="str">
        <x:v>Club order flag</x:v>
      </x:c>
      <x:c r="B45" s="381" t="n">
        <x:v>0</x:v>
      </x:c>
      <x:c r="C45" s="381" t="n">
        <x:v>0</x:v>
      </x:c>
      <x:c r="D45" s="381" t="n">
        <x:v>0</x:v>
      </x:c>
      <x:c r="E45" s="381" t="n">
        <x:v>0</x:v>
      </x:c>
      <x:c r="F45" s="381" t="n">
        <x:v>1</x:v>
      </x:c>
      <x:c r="G45" s="381" t="n">
        <x:v>0</x:v>
      </x:c>
      <x:c r="H45" s="381" t="n">
        <x:v>0</x:v>
      </x:c>
      <x:c r="I45" s="381" t="n">
        <x:v>1</x:v>
      </x:c>
      <x:c r="J45" s="381" t="n">
        <x:v>0</x:v>
      </x:c>
      <x:c r="K45" s="381" t="n">
        <x:v>0</x:v>
      </x:c>
      <x:c r="L45" s="381" t="n">
        <x:v>1</x:v>
      </x:c>
      <x:c r="M45" s="381" t="n">
        <x:v>0</x:v>
      </x:c>
      <x:c r="N45" s="381" t="n">
        <x:v>0</x:v>
      </x:c>
      <x:c r="O45" s="381" t="n">
        <x:v>1</x:v>
      </x:c>
      <x:c r="P45" s="381" t="n">
        <x:v>0</x:v>
      </x:c>
      <x:c r="Q45" s="381" t="n">
        <x:v>0</x:v>
      </x:c>
      <x:c r="R45" s="381" t="n">
        <x:v>1</x:v>
      </x:c>
      <x:c r="S45" s="381" t="n">
        <x:v>0</x:v>
      </x:c>
      <x:c r="T45" s="381" t="n">
        <x:v>0</x:v>
      </x:c>
      <x:c r="U45" s="381" t="n">
        <x:v>1</x:v>
      </x:c>
      <x:c r="V45" s="381" t="n">
        <x:v>0</x:v>
      </x:c>
      <x:c r="W45" s="227"/>
      <x:c r="X45" s="227"/>
      <x:c r="Y45" s="227"/>
      <x:c r="Z45" s="227"/>
    </x:row>
    <x:row r="46">
      <x:c r="A46" s="327" t="str">
        <x:v>Club delivery flag</x:v>
      </x:c>
      <x:c r="B46" s="382" t="n">
        <x:f>0</x:f>
        <x:v>0</x:v>
      </x:c>
      <x:c r="C46" s="382" t="n">
        <x:f>0</x:f>
        <x:v>0</x:v>
      </x:c>
      <x:c r="D46" s="382" t="n">
        <x:f>B45</x:f>
        <x:v>0</x:v>
      </x:c>
      <x:c r="E46" s="382" t="n">
        <x:f>C45</x:f>
        <x:v>0</x:v>
      </x:c>
      <x:c r="F46" s="382" t="n">
        <x:f>D45</x:f>
        <x:v>0</x:v>
      </x:c>
      <x:c r="G46" s="382" t="n">
        <x:f>E45</x:f>
        <x:v>0</x:v>
      </x:c>
      <x:c r="H46" s="382" t="n">
        <x:f>F45</x:f>
        <x:v>1</x:v>
      </x:c>
      <x:c r="I46" s="382" t="n">
        <x:f>G45</x:f>
        <x:v>0</x:v>
      </x:c>
      <x:c r="J46" s="382" t="n">
        <x:f>H45</x:f>
        <x:v>0</x:v>
      </x:c>
      <x:c r="K46" s="382" t="n">
        <x:f>I45</x:f>
        <x:v>1</x:v>
      </x:c>
      <x:c r="L46" s="382" t="n">
        <x:f>J45</x:f>
        <x:v>0</x:v>
      </x:c>
      <x:c r="M46" s="382" t="n">
        <x:f>K45</x:f>
        <x:v>0</x:v>
      </x:c>
      <x:c r="N46" s="382" t="n">
        <x:f>L45</x:f>
        <x:v>1</x:v>
      </x:c>
      <x:c r="O46" s="382" t="n">
        <x:f>M45</x:f>
        <x:v>0</x:v>
      </x:c>
      <x:c r="P46" s="382" t="n">
        <x:f>N45</x:f>
        <x:v>0</x:v>
      </x:c>
      <x:c r="Q46" s="382" t="n">
        <x:f>O45</x:f>
        <x:v>1</x:v>
      </x:c>
      <x:c r="R46" s="382" t="n">
        <x:f>P45</x:f>
        <x:v>0</x:v>
      </x:c>
      <x:c r="S46" s="382" t="n">
        <x:f>Q45</x:f>
        <x:v>0</x:v>
      </x:c>
      <x:c r="T46" s="382" t="n">
        <x:f>R45</x:f>
        <x:v>1</x:v>
      </x:c>
      <x:c r="U46" s="382" t="n">
        <x:f>S45</x:f>
        <x:v>0</x:v>
      </x:c>
      <x:c r="V46" s="382" t="n">
        <x:f>T45</x:f>
        <x:v>0</x:v>
      </x:c>
      <x:c r="W46" s="227"/>
      <x:c r="X46" s="227"/>
      <x:c r="Y46" s="227"/>
      <x:c r="Z46" s="227"/>
    </x:row>
    <x:row r="47">
      <x:c r="A47" s="337" t="str">
        <x:v>Gross billings recognised</x:v>
      </x:c>
      <x:c r="B47" s="387" t="n">
        <x:f>B46*Assumptions!$B$86</x:f>
        <x:v>0</x:v>
      </x:c>
      <x:c r="C47" s="387" t="n">
        <x:f>C46*Assumptions!$B$86</x:f>
        <x:v>0</x:v>
      </x:c>
      <x:c r="D47" s="387" t="n">
        <x:f>D46*Assumptions!$B$86</x:f>
        <x:v>0</x:v>
      </x:c>
      <x:c r="E47" s="387" t="n">
        <x:f>E46*Assumptions!$B$86</x:f>
        <x:v>0</x:v>
      </x:c>
      <x:c r="F47" s="387" t="n">
        <x:f>F46*Assumptions!$B$86</x:f>
        <x:v>0</x:v>
      </x:c>
      <x:c r="G47" s="387" t="n">
        <x:f>G46*Assumptions!$B$86</x:f>
        <x:v>0</x:v>
      </x:c>
      <x:c r="H47" s="387" t="n">
        <x:f>H46*Assumptions!$B$86</x:f>
        <x:v>200000</x:v>
      </x:c>
      <x:c r="I47" s="387" t="n">
        <x:f>I46*Assumptions!$B$86</x:f>
        <x:v>0</x:v>
      </x:c>
      <x:c r="J47" s="387" t="n">
        <x:f>J46*Assumptions!$B$86</x:f>
        <x:v>0</x:v>
      </x:c>
      <x:c r="K47" s="387" t="n">
        <x:f>K46*Assumptions!$B$86</x:f>
        <x:v>200000</x:v>
      </x:c>
      <x:c r="L47" s="387" t="n">
        <x:f>L46*Assumptions!$B$86</x:f>
        <x:v>0</x:v>
      </x:c>
      <x:c r="M47" s="387" t="n">
        <x:f>M46*Assumptions!$B$86</x:f>
        <x:v>0</x:v>
      </x:c>
      <x:c r="N47" s="387" t="n">
        <x:f>N46*Assumptions!$B$86</x:f>
        <x:v>200000</x:v>
      </x:c>
      <x:c r="O47" s="387" t="n">
        <x:f>O46*Assumptions!$B$86</x:f>
        <x:v>0</x:v>
      </x:c>
      <x:c r="P47" s="387" t="n">
        <x:f>P46*Assumptions!$B$86</x:f>
        <x:v>0</x:v>
      </x:c>
      <x:c r="Q47" s="387" t="n">
        <x:f>Q46*Assumptions!$B$86</x:f>
        <x:v>200000</x:v>
      </x:c>
      <x:c r="R47" s="387" t="n">
        <x:f>R46*Assumptions!$B$86</x:f>
        <x:v>0</x:v>
      </x:c>
      <x:c r="S47" s="387" t="n">
        <x:f>S46*Assumptions!$B$86</x:f>
        <x:v>0</x:v>
      </x:c>
      <x:c r="T47" s="387" t="n">
        <x:f>T46*Assumptions!$B$86</x:f>
        <x:v>200000</x:v>
      </x:c>
      <x:c r="U47" s="387" t="n">
        <x:f>U46*Assumptions!$B$86</x:f>
        <x:v>0</x:v>
      </x:c>
      <x:c r="V47" s="387" t="n">
        <x:f>V46*Assumptions!$B$86</x:f>
        <x:v>0</x:v>
      </x:c>
      <x:c r="W47" s="227"/>
      <x:c r="X47" s="227"/>
      <x:c r="Y47" s="227"/>
      <x:c r="Z47" s="227"/>
    </x:row>
    <x:row r="48">
      <x:c r="A48" s="337" t="str">
        <x:v>MAGNÆRA net revenue after club share</x:v>
      </x:c>
      <x:c r="B48" s="387" t="n">
        <x:f>B47*Assumptions!$B$80</x:f>
        <x:v>0</x:v>
      </x:c>
      <x:c r="C48" s="387" t="n">
        <x:f>C47*Assumptions!$B$80</x:f>
        <x:v>0</x:v>
      </x:c>
      <x:c r="D48" s="387" t="n">
        <x:f>D47*Assumptions!$B$80</x:f>
        <x:v>0</x:v>
      </x:c>
      <x:c r="E48" s="387" t="n">
        <x:f>E47*Assumptions!$B$80</x:f>
        <x:v>0</x:v>
      </x:c>
      <x:c r="F48" s="387" t="n">
        <x:f>F47*Assumptions!$B$80</x:f>
        <x:v>0</x:v>
      </x:c>
      <x:c r="G48" s="387" t="n">
        <x:f>G47*Assumptions!$B$80</x:f>
        <x:v>0</x:v>
      </x:c>
      <x:c r="H48" s="387" t="n">
        <x:f>H47*Assumptions!$B$80</x:f>
        <x:v>120000</x:v>
      </x:c>
      <x:c r="I48" s="387" t="n">
        <x:f>I47*Assumptions!$B$80</x:f>
        <x:v>0</x:v>
      </x:c>
      <x:c r="J48" s="387" t="n">
        <x:f>J47*Assumptions!$B$80</x:f>
        <x:v>0</x:v>
      </x:c>
      <x:c r="K48" s="387" t="n">
        <x:f>K47*Assumptions!$B$80</x:f>
        <x:v>120000</x:v>
      </x:c>
      <x:c r="L48" s="387" t="n">
        <x:f>L47*Assumptions!$B$80</x:f>
        <x:v>0</x:v>
      </x:c>
      <x:c r="M48" s="387" t="n">
        <x:f>M47*Assumptions!$B$80</x:f>
        <x:v>0</x:v>
      </x:c>
      <x:c r="N48" s="387" t="n">
        <x:f>N47*Assumptions!$B$80</x:f>
        <x:v>120000</x:v>
      </x:c>
      <x:c r="O48" s="387" t="n">
        <x:f>O47*Assumptions!$B$80</x:f>
        <x:v>0</x:v>
      </x:c>
      <x:c r="P48" s="387" t="n">
        <x:f>P47*Assumptions!$B$80</x:f>
        <x:v>0</x:v>
      </x:c>
      <x:c r="Q48" s="387" t="n">
        <x:f>Q47*Assumptions!$B$80</x:f>
        <x:v>120000</x:v>
      </x:c>
      <x:c r="R48" s="387" t="n">
        <x:f>R47*Assumptions!$B$80</x:f>
        <x:v>0</x:v>
      </x:c>
      <x:c r="S48" s="387" t="n">
        <x:f>S47*Assumptions!$B$80</x:f>
        <x:v>0</x:v>
      </x:c>
      <x:c r="T48" s="387" t="n">
        <x:f>T47*Assumptions!$B$80</x:f>
        <x:v>120000</x:v>
      </x:c>
      <x:c r="U48" s="387" t="n">
        <x:f>U47*Assumptions!$B$80</x:f>
        <x:v>0</x:v>
      </x:c>
      <x:c r="V48" s="387" t="n">
        <x:f>V47*Assumptions!$B$80</x:f>
        <x:v>0</x:v>
      </x:c>
      <x:c r="W48" s="227"/>
      <x:c r="X48" s="227"/>
      <x:c r="Y48" s="227"/>
      <x:c r="Z48" s="227"/>
    </x:row>
    <x:row r="49">
      <x:c r="A49" s="327" t="str">
        <x:v>Member advance cash</x:v>
      </x:c>
      <x:c r="B49" s="379" t="n">
        <x:f>B45*Assumptions!$B$76*Assumptions!$B$78</x:f>
        <x:v>0</x:v>
      </x:c>
      <x:c r="C49" s="379" t="n">
        <x:f>C45*Assumptions!$B$76*Assumptions!$B$78</x:f>
        <x:v>0</x:v>
      </x:c>
      <x:c r="D49" s="379" t="n">
        <x:f>D45*Assumptions!$B$76*Assumptions!$B$78</x:f>
        <x:v>0</x:v>
      </x:c>
      <x:c r="E49" s="379" t="n">
        <x:f>E45*Assumptions!$B$76*Assumptions!$B$78</x:f>
        <x:v>0</x:v>
      </x:c>
      <x:c r="F49" s="379" t="n">
        <x:f>F45*Assumptions!$B$76*Assumptions!$B$78</x:f>
        <x:v>100000</x:v>
      </x:c>
      <x:c r="G49" s="379" t="n">
        <x:f>G45*Assumptions!$B$76*Assumptions!$B$78</x:f>
        <x:v>0</x:v>
      </x:c>
      <x:c r="H49" s="379" t="n">
        <x:f>H45*Assumptions!$B$76*Assumptions!$B$78</x:f>
        <x:v>0</x:v>
      </x:c>
      <x:c r="I49" s="379" t="n">
        <x:f>I45*Assumptions!$B$76*Assumptions!$B$78</x:f>
        <x:v>100000</x:v>
      </x:c>
      <x:c r="J49" s="379" t="n">
        <x:f>J45*Assumptions!$B$76*Assumptions!$B$78</x:f>
        <x:v>0</x:v>
      </x:c>
      <x:c r="K49" s="379" t="n">
        <x:f>K45*Assumptions!$B$76*Assumptions!$B$78</x:f>
        <x:v>0</x:v>
      </x:c>
      <x:c r="L49" s="379" t="n">
        <x:f>L45*Assumptions!$B$76*Assumptions!$B$78</x:f>
        <x:v>100000</x:v>
      </x:c>
      <x:c r="M49" s="379" t="n">
        <x:f>M45*Assumptions!$B$76*Assumptions!$B$78</x:f>
        <x:v>0</x:v>
      </x:c>
      <x:c r="N49" s="379" t="n">
        <x:f>N45*Assumptions!$B$76*Assumptions!$B$78</x:f>
        <x:v>0</x:v>
      </x:c>
      <x:c r="O49" s="379" t="n">
        <x:f>O45*Assumptions!$B$76*Assumptions!$B$78</x:f>
        <x:v>100000</x:v>
      </x:c>
      <x:c r="P49" s="379" t="n">
        <x:f>P45*Assumptions!$B$76*Assumptions!$B$78</x:f>
        <x:v>0</x:v>
      </x:c>
      <x:c r="Q49" s="379" t="n">
        <x:f>Q45*Assumptions!$B$76*Assumptions!$B$78</x:f>
        <x:v>0</x:v>
      </x:c>
      <x:c r="R49" s="379" t="n">
        <x:f>R45*Assumptions!$B$76*Assumptions!$B$78</x:f>
        <x:v>100000</x:v>
      </x:c>
      <x:c r="S49" s="379" t="n">
        <x:f>S45*Assumptions!$B$76*Assumptions!$B$78</x:f>
        <x:v>0</x:v>
      </x:c>
      <x:c r="T49" s="379" t="n">
        <x:f>T45*Assumptions!$B$76*Assumptions!$B$78</x:f>
        <x:v>0</x:v>
      </x:c>
      <x:c r="U49" s="379" t="n">
        <x:f>U45*Assumptions!$B$76*Assumptions!$B$78</x:f>
        <x:v>100000</x:v>
      </x:c>
      <x:c r="V49" s="379" t="n">
        <x:f>V45*Assumptions!$B$76*Assumptions!$B$78</x:f>
        <x:v>0</x:v>
      </x:c>
      <x:c r="W49" s="227"/>
      <x:c r="X49" s="227"/>
      <x:c r="Y49" s="227"/>
      <x:c r="Z49" s="227"/>
    </x:row>
    <x:row r="50">
      <x:c r="A50" s="327" t="str">
        <x:v>Final cash at delivery</x:v>
      </x:c>
      <x:c r="B50" s="379" t="n">
        <x:f>B46*(Assumptions!$B$86-Assumptions!$B$76*Assumptions!$B$78)</x:f>
        <x:v>0</x:v>
      </x:c>
      <x:c r="C50" s="379" t="n">
        <x:f>C46*(Assumptions!$B$86-Assumptions!$B$76*Assumptions!$B$78)</x:f>
        <x:v>0</x:v>
      </x:c>
      <x:c r="D50" s="379" t="n">
        <x:f>D46*(Assumptions!$B$86-Assumptions!$B$76*Assumptions!$B$78)</x:f>
        <x:v>0</x:v>
      </x:c>
      <x:c r="E50" s="379" t="n">
        <x:f>E46*(Assumptions!$B$86-Assumptions!$B$76*Assumptions!$B$78)</x:f>
        <x:v>0</x:v>
      </x:c>
      <x:c r="F50" s="379" t="n">
        <x:f>F46*(Assumptions!$B$86-Assumptions!$B$76*Assumptions!$B$78)</x:f>
        <x:v>0</x:v>
      </x:c>
      <x:c r="G50" s="379" t="n">
        <x:f>G46*(Assumptions!$B$86-Assumptions!$B$76*Assumptions!$B$78)</x:f>
        <x:v>0</x:v>
      </x:c>
      <x:c r="H50" s="379" t="n">
        <x:f>H46*(Assumptions!$B$86-Assumptions!$B$76*Assumptions!$B$78)</x:f>
        <x:v>100000</x:v>
      </x:c>
      <x:c r="I50" s="379" t="n">
        <x:f>I46*(Assumptions!$B$86-Assumptions!$B$76*Assumptions!$B$78)</x:f>
        <x:v>0</x:v>
      </x:c>
      <x:c r="J50" s="379" t="n">
        <x:f>J46*(Assumptions!$B$86-Assumptions!$B$76*Assumptions!$B$78)</x:f>
        <x:v>0</x:v>
      </x:c>
      <x:c r="K50" s="379" t="n">
        <x:f>K46*(Assumptions!$B$86-Assumptions!$B$76*Assumptions!$B$78)</x:f>
        <x:v>100000</x:v>
      </x:c>
      <x:c r="L50" s="379" t="n">
        <x:f>L46*(Assumptions!$B$86-Assumptions!$B$76*Assumptions!$B$78)</x:f>
        <x:v>0</x:v>
      </x:c>
      <x:c r="M50" s="379" t="n">
        <x:f>M46*(Assumptions!$B$86-Assumptions!$B$76*Assumptions!$B$78)</x:f>
        <x:v>0</x:v>
      </x:c>
      <x:c r="N50" s="379" t="n">
        <x:f>N46*(Assumptions!$B$86-Assumptions!$B$76*Assumptions!$B$78)</x:f>
        <x:v>100000</x:v>
      </x:c>
      <x:c r="O50" s="379" t="n">
        <x:f>O46*(Assumptions!$B$86-Assumptions!$B$76*Assumptions!$B$78)</x:f>
        <x:v>0</x:v>
      </x:c>
      <x:c r="P50" s="379" t="n">
        <x:f>P46*(Assumptions!$B$86-Assumptions!$B$76*Assumptions!$B$78)</x:f>
        <x:v>0</x:v>
      </x:c>
      <x:c r="Q50" s="379" t="n">
        <x:f>Q46*(Assumptions!$B$86-Assumptions!$B$76*Assumptions!$B$78)</x:f>
        <x:v>100000</x:v>
      </x:c>
      <x:c r="R50" s="379" t="n">
        <x:f>R46*(Assumptions!$B$86-Assumptions!$B$76*Assumptions!$B$78)</x:f>
        <x:v>0</x:v>
      </x:c>
      <x:c r="S50" s="379" t="n">
        <x:f>S46*(Assumptions!$B$86-Assumptions!$B$76*Assumptions!$B$78)</x:f>
        <x:v>0</x:v>
      </x:c>
      <x:c r="T50" s="379" t="n">
        <x:f>T46*(Assumptions!$B$86-Assumptions!$B$76*Assumptions!$B$78)</x:f>
        <x:v>100000</x:v>
      </x:c>
      <x:c r="U50" s="379" t="n">
        <x:f>U46*(Assumptions!$B$86-Assumptions!$B$76*Assumptions!$B$78)</x:f>
        <x:v>0</x:v>
      </x:c>
      <x:c r="V50" s="379" t="n">
        <x:f>V46*(Assumptions!$B$86-Assumptions!$B$76*Assumptions!$B$78)</x:f>
        <x:v>0</x:v>
      </x:c>
      <x:c r="W50" s="227"/>
      <x:c r="X50" s="227"/>
      <x:c r="Y50" s="227"/>
      <x:c r="Z50" s="227"/>
    </x:row>
    <x:row r="51">
      <x:c r="A51" s="327" t="str">
        <x:v>Club revenue share (40%)</x:v>
      </x:c>
      <x:c r="B51" s="379" t="n">
        <x:f>B47*Assumptions!$B$79</x:f>
        <x:v>0</x:v>
      </x:c>
      <x:c r="C51" s="379" t="n">
        <x:f>C47*Assumptions!$B$79</x:f>
        <x:v>0</x:v>
      </x:c>
      <x:c r="D51" s="379" t="n">
        <x:f>D47*Assumptions!$B$79</x:f>
        <x:v>0</x:v>
      </x:c>
      <x:c r="E51" s="379" t="n">
        <x:f>E47*Assumptions!$B$79</x:f>
        <x:v>0</x:v>
      </x:c>
      <x:c r="F51" s="379" t="n">
        <x:f>F47*Assumptions!$B$79</x:f>
        <x:v>0</x:v>
      </x:c>
      <x:c r="G51" s="379" t="n">
        <x:f>G47*Assumptions!$B$79</x:f>
        <x:v>0</x:v>
      </x:c>
      <x:c r="H51" s="379" t="n">
        <x:f>H47*Assumptions!$B$79</x:f>
        <x:v>80000</x:v>
      </x:c>
      <x:c r="I51" s="379" t="n">
        <x:f>I47*Assumptions!$B$79</x:f>
        <x:v>0</x:v>
      </x:c>
      <x:c r="J51" s="379" t="n">
        <x:f>J47*Assumptions!$B$79</x:f>
        <x:v>0</x:v>
      </x:c>
      <x:c r="K51" s="379" t="n">
        <x:f>K47*Assumptions!$B$79</x:f>
        <x:v>80000</x:v>
      </x:c>
      <x:c r="L51" s="379" t="n">
        <x:f>L47*Assumptions!$B$79</x:f>
        <x:v>0</x:v>
      </x:c>
      <x:c r="M51" s="379" t="n">
        <x:f>M47*Assumptions!$B$79</x:f>
        <x:v>0</x:v>
      </x:c>
      <x:c r="N51" s="379" t="n">
        <x:f>N47*Assumptions!$B$79</x:f>
        <x:v>80000</x:v>
      </x:c>
      <x:c r="O51" s="379" t="n">
        <x:f>O47*Assumptions!$B$79</x:f>
        <x:v>0</x:v>
      </x:c>
      <x:c r="P51" s="379" t="n">
        <x:f>P47*Assumptions!$B$79</x:f>
        <x:v>0</x:v>
      </x:c>
      <x:c r="Q51" s="379" t="n">
        <x:f>Q47*Assumptions!$B$79</x:f>
        <x:v>80000</x:v>
      </x:c>
      <x:c r="R51" s="379" t="n">
        <x:f>R47*Assumptions!$B$79</x:f>
        <x:v>0</x:v>
      </x:c>
      <x:c r="S51" s="379" t="n">
        <x:f>S47*Assumptions!$B$79</x:f>
        <x:v>0</x:v>
      </x:c>
      <x:c r="T51" s="379" t="n">
        <x:f>T47*Assumptions!$B$79</x:f>
        <x:v>80000</x:v>
      </x:c>
      <x:c r="U51" s="379" t="n">
        <x:f>U47*Assumptions!$B$79</x:f>
        <x:v>0</x:v>
      </x:c>
      <x:c r="V51" s="379" t="n">
        <x:f>V47*Assumptions!$B$79</x:f>
        <x:v>0</x:v>
      </x:c>
      <x:c r="W51" s="227"/>
      <x:c r="X51" s="227"/>
      <x:c r="Y51" s="227"/>
      <x:c r="Z51" s="227"/>
    </x:row>
    <x:row r="52">
      <x:c r="A52" s="327" t="str">
        <x:v>Club manufacturing COGS</x:v>
      </x:c>
      <x:c r="B52" s="379" t="n">
        <x:f>B46*Assumptions!$B$76*Assumptions!$B$81</x:f>
        <x:v>0</x:v>
      </x:c>
      <x:c r="C52" s="379" t="n">
        <x:f>C46*Assumptions!$B$76*Assumptions!$B$81</x:f>
        <x:v>0</x:v>
      </x:c>
      <x:c r="D52" s="379" t="n">
        <x:f>D46*Assumptions!$B$76*Assumptions!$B$81</x:f>
        <x:v>0</x:v>
      </x:c>
      <x:c r="E52" s="379" t="n">
        <x:f>E46*Assumptions!$B$76*Assumptions!$B$81</x:f>
        <x:v>0</x:v>
      </x:c>
      <x:c r="F52" s="379" t="n">
        <x:f>F46*Assumptions!$B$76*Assumptions!$B$81</x:f>
        <x:v>0</x:v>
      </x:c>
      <x:c r="G52" s="379" t="n">
        <x:f>G46*Assumptions!$B$76*Assumptions!$B$81</x:f>
        <x:v>0</x:v>
      </x:c>
      <x:c r="H52" s="379" t="n">
        <x:f>H46*Assumptions!$B$76*Assumptions!$B$81</x:f>
        <x:v>25000</x:v>
      </x:c>
      <x:c r="I52" s="379" t="n">
        <x:f>I46*Assumptions!$B$76*Assumptions!$B$81</x:f>
        <x:v>0</x:v>
      </x:c>
      <x:c r="J52" s="379" t="n">
        <x:f>J46*Assumptions!$B$76*Assumptions!$B$81</x:f>
        <x:v>0</x:v>
      </x:c>
      <x:c r="K52" s="379" t="n">
        <x:f>K46*Assumptions!$B$76*Assumptions!$B$81</x:f>
        <x:v>25000</x:v>
      </x:c>
      <x:c r="L52" s="379" t="n">
        <x:f>L46*Assumptions!$B$76*Assumptions!$B$81</x:f>
        <x:v>0</x:v>
      </x:c>
      <x:c r="M52" s="379" t="n">
        <x:f>M46*Assumptions!$B$76*Assumptions!$B$81</x:f>
        <x:v>0</x:v>
      </x:c>
      <x:c r="N52" s="379" t="n">
        <x:f>N46*Assumptions!$B$76*Assumptions!$B$81</x:f>
        <x:v>25000</x:v>
      </x:c>
      <x:c r="O52" s="379" t="n">
        <x:f>O46*Assumptions!$B$76*Assumptions!$B$81</x:f>
        <x:v>0</x:v>
      </x:c>
      <x:c r="P52" s="379" t="n">
        <x:f>P46*Assumptions!$B$76*Assumptions!$B$81</x:f>
        <x:v>0</x:v>
      </x:c>
      <x:c r="Q52" s="379" t="n">
        <x:f>Q46*Assumptions!$B$76*Assumptions!$B$81</x:f>
        <x:v>25000</x:v>
      </x:c>
      <x:c r="R52" s="379" t="n">
        <x:f>R46*Assumptions!$B$76*Assumptions!$B$81</x:f>
        <x:v>0</x:v>
      </x:c>
      <x:c r="S52" s="379" t="n">
        <x:f>S46*Assumptions!$B$76*Assumptions!$B$81</x:f>
        <x:v>0</x:v>
      </x:c>
      <x:c r="T52" s="379" t="n">
        <x:f>T46*Assumptions!$B$76*Assumptions!$B$81</x:f>
        <x:v>25000</x:v>
      </x:c>
      <x:c r="U52" s="379" t="n">
        <x:f>U46*Assumptions!$B$76*Assumptions!$B$81</x:f>
        <x:v>0</x:v>
      </x:c>
      <x:c r="V52" s="379" t="n">
        <x:f>V46*Assumptions!$B$76*Assumptions!$B$81</x:f>
        <x:v>0</x:v>
      </x:c>
      <x:c r="W52" s="227"/>
      <x:c r="X52" s="227"/>
      <x:c r="Y52" s="227"/>
      <x:c r="Z52" s="227"/>
    </x:row>
    <x:row r="53">
      <x:c r="A53" s="327" t="str">
        <x:v>Club logistics expense</x:v>
      </x:c>
      <x:c r="B53" s="379" t="n">
        <x:f>B47*Assumptions!$B$82</x:f>
        <x:v>0</x:v>
      </x:c>
      <x:c r="C53" s="379" t="n">
        <x:f>C47*Assumptions!$B$82</x:f>
        <x:v>0</x:v>
      </x:c>
      <x:c r="D53" s="379" t="n">
        <x:f>D47*Assumptions!$B$82</x:f>
        <x:v>0</x:v>
      </x:c>
      <x:c r="E53" s="379" t="n">
        <x:f>E47*Assumptions!$B$82</x:f>
        <x:v>0</x:v>
      </x:c>
      <x:c r="F53" s="379" t="n">
        <x:f>F47*Assumptions!$B$82</x:f>
        <x:v>0</x:v>
      </x:c>
      <x:c r="G53" s="379" t="n">
        <x:f>G47*Assumptions!$B$82</x:f>
        <x:v>0</x:v>
      </x:c>
      <x:c r="H53" s="379" t="n">
        <x:f>H47*Assumptions!$B$82</x:f>
        <x:v>14000.000000000002</x:v>
      </x:c>
      <x:c r="I53" s="379" t="n">
        <x:f>I47*Assumptions!$B$82</x:f>
        <x:v>0</x:v>
      </x:c>
      <x:c r="J53" s="379" t="n">
        <x:f>J47*Assumptions!$B$82</x:f>
        <x:v>0</x:v>
      </x:c>
      <x:c r="K53" s="379" t="n">
        <x:f>K47*Assumptions!$B$82</x:f>
        <x:v>14000.000000000002</x:v>
      </x:c>
      <x:c r="L53" s="379" t="n">
        <x:f>L47*Assumptions!$B$82</x:f>
        <x:v>0</x:v>
      </x:c>
      <x:c r="M53" s="379" t="n">
        <x:f>M47*Assumptions!$B$82</x:f>
        <x:v>0</x:v>
      </x:c>
      <x:c r="N53" s="379" t="n">
        <x:f>N47*Assumptions!$B$82</x:f>
        <x:v>14000.000000000002</x:v>
      </x:c>
      <x:c r="O53" s="379" t="n">
        <x:f>O47*Assumptions!$B$82</x:f>
        <x:v>0</x:v>
      </x:c>
      <x:c r="P53" s="379" t="n">
        <x:f>P47*Assumptions!$B$82</x:f>
        <x:v>0</x:v>
      </x:c>
      <x:c r="Q53" s="379" t="n">
        <x:f>Q47*Assumptions!$B$82</x:f>
        <x:v>14000.000000000002</x:v>
      </x:c>
      <x:c r="R53" s="379" t="n">
        <x:f>R47*Assumptions!$B$82</x:f>
        <x:v>0</x:v>
      </x:c>
      <x:c r="S53" s="379" t="n">
        <x:f>S47*Assumptions!$B$82</x:f>
        <x:v>0</x:v>
      </x:c>
      <x:c r="T53" s="379" t="n">
        <x:f>T47*Assumptions!$B$82</x:f>
        <x:v>14000.000000000002</x:v>
      </x:c>
      <x:c r="U53" s="379" t="n">
        <x:f>U47*Assumptions!$B$82</x:f>
        <x:v>0</x:v>
      </x:c>
      <x:c r="V53" s="379" t="n">
        <x:f>V47*Assumptions!$B$82</x:f>
        <x:v>0</x:v>
      </x:c>
      <x:c r="W53" s="227"/>
      <x:c r="X53" s="227"/>
      <x:c r="Y53" s="227"/>
      <x:c r="Z53" s="227"/>
    </x:row>
    <x:row r="54">
      <x:c r="A54" s="327" t="str">
        <x:v>Club payment processing</x:v>
      </x:c>
      <x:c r="B54" s="379" t="n">
        <x:f>B47*Assumptions!$B$83</x:f>
        <x:v>0</x:v>
      </x:c>
      <x:c r="C54" s="379" t="n">
        <x:f>C47*Assumptions!$B$83</x:f>
        <x:v>0</x:v>
      </x:c>
      <x:c r="D54" s="379" t="n">
        <x:f>D47*Assumptions!$B$83</x:f>
        <x:v>0</x:v>
      </x:c>
      <x:c r="E54" s="379" t="n">
        <x:f>E47*Assumptions!$B$83</x:f>
        <x:v>0</x:v>
      </x:c>
      <x:c r="F54" s="379" t="n">
        <x:f>F47*Assumptions!$B$83</x:f>
        <x:v>0</x:v>
      </x:c>
      <x:c r="G54" s="379" t="n">
        <x:f>G47*Assumptions!$B$83</x:f>
        <x:v>0</x:v>
      </x:c>
      <x:c r="H54" s="379" t="n">
        <x:f>H47*Assumptions!$B$83</x:f>
        <x:v>3599.9999999999995</x:v>
      </x:c>
      <x:c r="I54" s="379" t="n">
        <x:f>I47*Assumptions!$B$83</x:f>
        <x:v>0</x:v>
      </x:c>
      <x:c r="J54" s="379" t="n">
        <x:f>J47*Assumptions!$B$83</x:f>
        <x:v>0</x:v>
      </x:c>
      <x:c r="K54" s="379" t="n">
        <x:f>K47*Assumptions!$B$83</x:f>
        <x:v>3599.9999999999995</x:v>
      </x:c>
      <x:c r="L54" s="379" t="n">
        <x:f>L47*Assumptions!$B$83</x:f>
        <x:v>0</x:v>
      </x:c>
      <x:c r="M54" s="379" t="n">
        <x:f>M47*Assumptions!$B$83</x:f>
        <x:v>0</x:v>
      </x:c>
      <x:c r="N54" s="379" t="n">
        <x:f>N47*Assumptions!$B$83</x:f>
        <x:v>3599.9999999999995</x:v>
      </x:c>
      <x:c r="O54" s="379" t="n">
        <x:f>O47*Assumptions!$B$83</x:f>
        <x:v>0</x:v>
      </x:c>
      <x:c r="P54" s="379" t="n">
        <x:f>P47*Assumptions!$B$83</x:f>
        <x:v>0</x:v>
      </x:c>
      <x:c r="Q54" s="379" t="n">
        <x:f>Q47*Assumptions!$B$83</x:f>
        <x:v>3599.9999999999995</x:v>
      </x:c>
      <x:c r="R54" s="379" t="n">
        <x:f>R47*Assumptions!$B$83</x:f>
        <x:v>0</x:v>
      </x:c>
      <x:c r="S54" s="379" t="n">
        <x:f>S47*Assumptions!$B$83</x:f>
        <x:v>0</x:v>
      </x:c>
      <x:c r="T54" s="379" t="n">
        <x:f>T47*Assumptions!$B$83</x:f>
        <x:v>3599.9999999999995</x:v>
      </x:c>
      <x:c r="U54" s="379" t="n">
        <x:f>U47*Assumptions!$B$83</x:f>
        <x:v>0</x:v>
      </x:c>
      <x:c r="V54" s="379" t="n">
        <x:f>V47*Assumptions!$B$83</x:f>
        <x:v>0</x:v>
      </x:c>
      <x:c r="W54" s="227"/>
      <x:c r="X54" s="227"/>
      <x:c r="Y54" s="227"/>
      <x:c r="Z54" s="227"/>
    </x:row>
    <x:row r="55">
      <x:c r="A55" s="337" t="str">
        <x:v>Club contribution</x:v>
      </x:c>
      <x:c r="B55" s="387" t="n">
        <x:f>B47-SUM(B51:B54)</x:f>
        <x:v>0</x:v>
      </x:c>
      <x:c r="C55" s="387" t="n">
        <x:f>C47-SUM(C51:C54)</x:f>
        <x:v>0</x:v>
      </x:c>
      <x:c r="D55" s="387" t="n">
        <x:f>D47-SUM(D51:D54)</x:f>
        <x:v>0</x:v>
      </x:c>
      <x:c r="E55" s="387" t="n">
        <x:f>E47-SUM(E51:E54)</x:f>
        <x:v>0</x:v>
      </x:c>
      <x:c r="F55" s="387" t="n">
        <x:f>F47-SUM(F51:F54)</x:f>
        <x:v>0</x:v>
      </x:c>
      <x:c r="G55" s="387" t="n">
        <x:f>G47-SUM(G51:G54)</x:f>
        <x:v>0</x:v>
      </x:c>
      <x:c r="H55" s="387" t="n">
        <x:f>H47-SUM(H51:H54)</x:f>
        <x:v>77400</x:v>
      </x:c>
      <x:c r="I55" s="387" t="n">
        <x:f>I47-SUM(I51:I54)</x:f>
        <x:v>0</x:v>
      </x:c>
      <x:c r="J55" s="387" t="n">
        <x:f>J47-SUM(J51:J54)</x:f>
        <x:v>0</x:v>
      </x:c>
      <x:c r="K55" s="387" t="n">
        <x:f>K47-SUM(K51:K54)</x:f>
        <x:v>77400</x:v>
      </x:c>
      <x:c r="L55" s="387" t="n">
        <x:f>L47-SUM(L51:L54)</x:f>
        <x:v>0</x:v>
      </x:c>
      <x:c r="M55" s="387" t="n">
        <x:f>M47-SUM(M51:M54)</x:f>
        <x:v>0</x:v>
      </x:c>
      <x:c r="N55" s="387" t="n">
        <x:f>N47-SUM(N51:N54)</x:f>
        <x:v>77400</x:v>
      </x:c>
      <x:c r="O55" s="387" t="n">
        <x:f>O47-SUM(O51:O54)</x:f>
        <x:v>0</x:v>
      </x:c>
      <x:c r="P55" s="387" t="n">
        <x:f>P47-SUM(P51:P54)</x:f>
        <x:v>0</x:v>
      </x:c>
      <x:c r="Q55" s="387" t="n">
        <x:f>Q47-SUM(Q51:Q54)</x:f>
        <x:v>77400</x:v>
      </x:c>
      <x:c r="R55" s="387" t="n">
        <x:f>R47-SUM(R51:R54)</x:f>
        <x:v>0</x:v>
      </x:c>
      <x:c r="S55" s="387" t="n">
        <x:f>S47-SUM(S51:S54)</x:f>
        <x:v>0</x:v>
      </x:c>
      <x:c r="T55" s="387" t="n">
        <x:f>T47-SUM(T51:T54)</x:f>
        <x:v>77400</x:v>
      </x:c>
      <x:c r="U55" s="387" t="n">
        <x:f>U47-SUM(U51:U54)</x:f>
        <x:v>0</x:v>
      </x:c>
      <x:c r="V55" s="387" t="n">
        <x:f>V47-SUM(V51:V54)</x:f>
        <x:v>0</x:v>
      </x:c>
      <x:c r="W55" s="227"/>
      <x:c r="X55" s="227"/>
      <x:c r="Y55" s="227"/>
      <x:c r="Z55" s="227"/>
    </x:row>
    <x:row r="56">
      <x:c r="A56" s="327" t="str">
        <x:v>Production deposit cash</x:v>
      </x:c>
      <x:c r="B56" s="379" t="n">
        <x:f>B45*Assumptions!$B$76*Assumptions!$B$81*Assumptions!$B$84</x:f>
        <x:v>0</x:v>
      </x:c>
      <x:c r="C56" s="379" t="n">
        <x:f>C45*Assumptions!$B$76*Assumptions!$B$81*Assumptions!$B$84</x:f>
        <x:v>0</x:v>
      </x:c>
      <x:c r="D56" s="379" t="n">
        <x:f>D45*Assumptions!$B$76*Assumptions!$B$81*Assumptions!$B$84</x:f>
        <x:v>0</x:v>
      </x:c>
      <x:c r="E56" s="379" t="n">
        <x:f>E45*Assumptions!$B$76*Assumptions!$B$81*Assumptions!$B$84</x:f>
        <x:v>0</x:v>
      </x:c>
      <x:c r="F56" s="379" t="n">
        <x:f>F45*Assumptions!$B$76*Assumptions!$B$81*Assumptions!$B$84</x:f>
        <x:v>6250</x:v>
      </x:c>
      <x:c r="G56" s="379" t="n">
        <x:f>G45*Assumptions!$B$76*Assumptions!$B$81*Assumptions!$B$84</x:f>
        <x:v>0</x:v>
      </x:c>
      <x:c r="H56" s="379" t="n">
        <x:f>H45*Assumptions!$B$76*Assumptions!$B$81*Assumptions!$B$84</x:f>
        <x:v>0</x:v>
      </x:c>
      <x:c r="I56" s="379" t="n">
        <x:f>I45*Assumptions!$B$76*Assumptions!$B$81*Assumptions!$B$84</x:f>
        <x:v>6250</x:v>
      </x:c>
      <x:c r="J56" s="379" t="n">
        <x:f>J45*Assumptions!$B$76*Assumptions!$B$81*Assumptions!$B$84</x:f>
        <x:v>0</x:v>
      </x:c>
      <x:c r="K56" s="379" t="n">
        <x:f>K45*Assumptions!$B$76*Assumptions!$B$81*Assumptions!$B$84</x:f>
        <x:v>0</x:v>
      </x:c>
      <x:c r="L56" s="379" t="n">
        <x:f>L45*Assumptions!$B$76*Assumptions!$B$81*Assumptions!$B$84</x:f>
        <x:v>6250</x:v>
      </x:c>
      <x:c r="M56" s="379" t="n">
        <x:f>M45*Assumptions!$B$76*Assumptions!$B$81*Assumptions!$B$84</x:f>
        <x:v>0</x:v>
      </x:c>
      <x:c r="N56" s="379" t="n">
        <x:f>N45*Assumptions!$B$76*Assumptions!$B$81*Assumptions!$B$84</x:f>
        <x:v>0</x:v>
      </x:c>
      <x:c r="O56" s="379" t="n">
        <x:f>O45*Assumptions!$B$76*Assumptions!$B$81*Assumptions!$B$84</x:f>
        <x:v>6250</x:v>
      </x:c>
      <x:c r="P56" s="379" t="n">
        <x:f>P45*Assumptions!$B$76*Assumptions!$B$81*Assumptions!$B$84</x:f>
        <x:v>0</x:v>
      </x:c>
      <x:c r="Q56" s="379" t="n">
        <x:f>Q45*Assumptions!$B$76*Assumptions!$B$81*Assumptions!$B$84</x:f>
        <x:v>0</x:v>
      </x:c>
      <x:c r="R56" s="379" t="n">
        <x:f>R45*Assumptions!$B$76*Assumptions!$B$81*Assumptions!$B$84</x:f>
        <x:v>6250</x:v>
      </x:c>
      <x:c r="S56" s="379" t="n">
        <x:f>S45*Assumptions!$B$76*Assumptions!$B$81*Assumptions!$B$84</x:f>
        <x:v>0</x:v>
      </x:c>
      <x:c r="T56" s="379" t="n">
        <x:f>T45*Assumptions!$B$76*Assumptions!$B$81*Assumptions!$B$84</x:f>
        <x:v>0</x:v>
      </x:c>
      <x:c r="U56" s="379" t="n">
        <x:f>U45*Assumptions!$B$76*Assumptions!$B$81*Assumptions!$B$84</x:f>
        <x:v>6250</x:v>
      </x:c>
      <x:c r="V56" s="379" t="n">
        <x:f>V45*Assumptions!$B$76*Assumptions!$B$81*Assumptions!$B$84</x:f>
        <x:v>0</x:v>
      </x:c>
      <x:c r="W56" s="227"/>
      <x:c r="X56" s="227"/>
      <x:c r="Y56" s="227"/>
      <x:c r="Z56" s="227"/>
    </x:row>
    <x:row r="57">
      <x:c r="A57" s="327" t="str">
        <x:v>Production balance cash</x:v>
      </x:c>
      <x:c r="B57" s="379" t="n">
        <x:f>0</x:f>
        <x:v>0</x:v>
      </x:c>
      <x:c r="C57" s="379" t="n">
        <x:f>B45*Assumptions!$B$76*Assumptions!$B$81*Assumptions!$B$85</x:f>
        <x:v>0</x:v>
      </x:c>
      <x:c r="D57" s="379" t="n">
        <x:f>C45*Assumptions!$B$76*Assumptions!$B$81*Assumptions!$B$85</x:f>
        <x:v>0</x:v>
      </x:c>
      <x:c r="E57" s="379" t="n">
        <x:f>D45*Assumptions!$B$76*Assumptions!$B$81*Assumptions!$B$85</x:f>
        <x:v>0</x:v>
      </x:c>
      <x:c r="F57" s="379" t="n">
        <x:f>E45*Assumptions!$B$76*Assumptions!$B$81*Assumptions!$B$85</x:f>
        <x:v>0</x:v>
      </x:c>
      <x:c r="G57" s="379" t="n">
        <x:f>F45*Assumptions!$B$76*Assumptions!$B$81*Assumptions!$B$85</x:f>
        <x:v>18750</x:v>
      </x:c>
      <x:c r="H57" s="379" t="n">
        <x:f>G45*Assumptions!$B$76*Assumptions!$B$81*Assumptions!$B$85</x:f>
        <x:v>0</x:v>
      </x:c>
      <x:c r="I57" s="379" t="n">
        <x:f>H45*Assumptions!$B$76*Assumptions!$B$81*Assumptions!$B$85</x:f>
        <x:v>0</x:v>
      </x:c>
      <x:c r="J57" s="379" t="n">
        <x:f>I45*Assumptions!$B$76*Assumptions!$B$81*Assumptions!$B$85</x:f>
        <x:v>18750</x:v>
      </x:c>
      <x:c r="K57" s="379" t="n">
        <x:f>J45*Assumptions!$B$76*Assumptions!$B$81*Assumptions!$B$85</x:f>
        <x:v>0</x:v>
      </x:c>
      <x:c r="L57" s="379" t="n">
        <x:f>K45*Assumptions!$B$76*Assumptions!$B$81*Assumptions!$B$85</x:f>
        <x:v>0</x:v>
      </x:c>
      <x:c r="M57" s="379" t="n">
        <x:f>L45*Assumptions!$B$76*Assumptions!$B$81*Assumptions!$B$85</x:f>
        <x:v>18750</x:v>
      </x:c>
      <x:c r="N57" s="379" t="n">
        <x:f>M45*Assumptions!$B$76*Assumptions!$B$81*Assumptions!$B$85</x:f>
        <x:v>0</x:v>
      </x:c>
      <x:c r="O57" s="379" t="n">
        <x:f>N45*Assumptions!$B$76*Assumptions!$B$81*Assumptions!$B$85</x:f>
        <x:v>0</x:v>
      </x:c>
      <x:c r="P57" s="379" t="n">
        <x:f>O45*Assumptions!$B$76*Assumptions!$B$81*Assumptions!$B$85</x:f>
        <x:v>18750</x:v>
      </x:c>
      <x:c r="Q57" s="379" t="n">
        <x:f>P45*Assumptions!$B$76*Assumptions!$B$81*Assumptions!$B$85</x:f>
        <x:v>0</x:v>
      </x:c>
      <x:c r="R57" s="379" t="n">
        <x:f>Q45*Assumptions!$B$76*Assumptions!$B$81*Assumptions!$B$85</x:f>
        <x:v>0</x:v>
      </x:c>
      <x:c r="S57" s="379" t="n">
        <x:f>R45*Assumptions!$B$76*Assumptions!$B$81*Assumptions!$B$85</x:f>
        <x:v>18750</x:v>
      </x:c>
      <x:c r="T57" s="379" t="n">
        <x:f>S45*Assumptions!$B$76*Assumptions!$B$81*Assumptions!$B$85</x:f>
        <x:v>0</x:v>
      </x:c>
      <x:c r="U57" s="379" t="n">
        <x:f>T45*Assumptions!$B$76*Assumptions!$B$81*Assumptions!$B$85</x:f>
        <x:v>0</x:v>
      </x:c>
      <x:c r="V57" s="379" t="n">
        <x:f>U45*Assumptions!$B$76*Assumptions!$B$81*Assumptions!$B$85</x:f>
        <x:v>18750</x:v>
      </x:c>
      <x:c r="W57" s="227"/>
      <x:c r="X57" s="227"/>
      <x:c r="Y57" s="227"/>
      <x:c r="Z57" s="227"/>
    </x:row>
    <x:row r="58">
      <x:c r="A58" s="327" t="str">
        <x:v>Club share cash paid</x:v>
      </x:c>
      <x:c r="B58" s="379" t="n">
        <x:f>B46*Assumptions!$B$86*Assumptions!$B$79</x:f>
        <x:v>0</x:v>
      </x:c>
      <x:c r="C58" s="379" t="n">
        <x:f>C46*Assumptions!$B$86*Assumptions!$B$79</x:f>
        <x:v>0</x:v>
      </x:c>
      <x:c r="D58" s="379" t="n">
        <x:f>D46*Assumptions!$B$86*Assumptions!$B$79</x:f>
        <x:v>0</x:v>
      </x:c>
      <x:c r="E58" s="379" t="n">
        <x:f>E46*Assumptions!$B$86*Assumptions!$B$79</x:f>
        <x:v>0</x:v>
      </x:c>
      <x:c r="F58" s="379" t="n">
        <x:f>F46*Assumptions!$B$86*Assumptions!$B$79</x:f>
        <x:v>0</x:v>
      </x:c>
      <x:c r="G58" s="379" t="n">
        <x:f>G46*Assumptions!$B$86*Assumptions!$B$79</x:f>
        <x:v>0</x:v>
      </x:c>
      <x:c r="H58" s="379" t="n">
        <x:f>H46*Assumptions!$B$86*Assumptions!$B$79</x:f>
        <x:v>80000</x:v>
      </x:c>
      <x:c r="I58" s="379" t="n">
        <x:f>I46*Assumptions!$B$86*Assumptions!$B$79</x:f>
        <x:v>0</x:v>
      </x:c>
      <x:c r="J58" s="379" t="n">
        <x:f>J46*Assumptions!$B$86*Assumptions!$B$79</x:f>
        <x:v>0</x:v>
      </x:c>
      <x:c r="K58" s="379" t="n">
        <x:f>K46*Assumptions!$B$86*Assumptions!$B$79</x:f>
        <x:v>80000</x:v>
      </x:c>
      <x:c r="L58" s="379" t="n">
        <x:f>L46*Assumptions!$B$86*Assumptions!$B$79</x:f>
        <x:v>0</x:v>
      </x:c>
      <x:c r="M58" s="379" t="n">
        <x:f>M46*Assumptions!$B$86*Assumptions!$B$79</x:f>
        <x:v>0</x:v>
      </x:c>
      <x:c r="N58" s="379" t="n">
        <x:f>N46*Assumptions!$B$86*Assumptions!$B$79</x:f>
        <x:v>80000</x:v>
      </x:c>
      <x:c r="O58" s="379" t="n">
        <x:f>O46*Assumptions!$B$86*Assumptions!$B$79</x:f>
        <x:v>0</x:v>
      </x:c>
      <x:c r="P58" s="379" t="n">
        <x:f>P46*Assumptions!$B$86*Assumptions!$B$79</x:f>
        <x:v>0</x:v>
      </x:c>
      <x:c r="Q58" s="379" t="n">
        <x:f>Q46*Assumptions!$B$86*Assumptions!$B$79</x:f>
        <x:v>80000</x:v>
      </x:c>
      <x:c r="R58" s="379" t="n">
        <x:f>R46*Assumptions!$B$86*Assumptions!$B$79</x:f>
        <x:v>0</x:v>
      </x:c>
      <x:c r="S58" s="379" t="n">
        <x:f>S46*Assumptions!$B$86*Assumptions!$B$79</x:f>
        <x:v>0</x:v>
      </x:c>
      <x:c r="T58" s="379" t="n">
        <x:f>T46*Assumptions!$B$86*Assumptions!$B$79</x:f>
        <x:v>80000</x:v>
      </x:c>
      <x:c r="U58" s="379" t="n">
        <x:f>U46*Assumptions!$B$86*Assumptions!$B$79</x:f>
        <x:v>0</x:v>
      </x:c>
      <x:c r="V58" s="379" t="n">
        <x:f>V46*Assumptions!$B$86*Assumptions!$B$79</x:f>
        <x:v>0</x:v>
      </x:c>
      <x:c r="W58" s="227"/>
      <x:c r="X58" s="227"/>
      <x:c r="Y58" s="227"/>
      <x:c r="Z58" s="227"/>
    </x:row>
    <x:row r="59">
      <x:c r="A59" s="327" t="str">
        <x:v>Club logistics cash paid (60d)</x:v>
      </x:c>
      <x:c r="B59" s="379" t="n">
        <x:f>0</x:f>
        <x:v>0</x:v>
      </x:c>
      <x:c r="C59" s="379" t="n">
        <x:f>0</x:f>
        <x:v>0</x:v>
      </x:c>
      <x:c r="D59" s="379" t="n">
        <x:f>B46*Assumptions!$B$86*Assumptions!$B$82</x:f>
        <x:v>0</x:v>
      </x:c>
      <x:c r="E59" s="379" t="n">
        <x:f>C46*Assumptions!$B$86*Assumptions!$B$82</x:f>
        <x:v>0</x:v>
      </x:c>
      <x:c r="F59" s="379" t="n">
        <x:f>D46*Assumptions!$B$86*Assumptions!$B$82</x:f>
        <x:v>0</x:v>
      </x:c>
      <x:c r="G59" s="379" t="n">
        <x:f>E46*Assumptions!$B$86*Assumptions!$B$82</x:f>
        <x:v>0</x:v>
      </x:c>
      <x:c r="H59" s="379" t="n">
        <x:f>F46*Assumptions!$B$86*Assumptions!$B$82</x:f>
        <x:v>0</x:v>
      </x:c>
      <x:c r="I59" s="379" t="n">
        <x:f>G46*Assumptions!$B$86*Assumptions!$B$82</x:f>
        <x:v>0</x:v>
      </x:c>
      <x:c r="J59" s="379" t="n">
        <x:f>H46*Assumptions!$B$86*Assumptions!$B$82</x:f>
        <x:v>14000.000000000002</x:v>
      </x:c>
      <x:c r="K59" s="379" t="n">
        <x:f>I46*Assumptions!$B$86*Assumptions!$B$82</x:f>
        <x:v>0</x:v>
      </x:c>
      <x:c r="L59" s="379" t="n">
        <x:f>J46*Assumptions!$B$86*Assumptions!$B$82</x:f>
        <x:v>0</x:v>
      </x:c>
      <x:c r="M59" s="379" t="n">
        <x:f>K46*Assumptions!$B$86*Assumptions!$B$82</x:f>
        <x:v>14000.000000000002</x:v>
      </x:c>
      <x:c r="N59" s="379" t="n">
        <x:f>L46*Assumptions!$B$86*Assumptions!$B$82</x:f>
        <x:v>0</x:v>
      </x:c>
      <x:c r="O59" s="379" t="n">
        <x:f>M46*Assumptions!$B$86*Assumptions!$B$82</x:f>
        <x:v>0</x:v>
      </x:c>
      <x:c r="P59" s="379" t="n">
        <x:f>N46*Assumptions!$B$86*Assumptions!$B$82</x:f>
        <x:v>14000.000000000002</x:v>
      </x:c>
      <x:c r="Q59" s="379" t="n">
        <x:f>O46*Assumptions!$B$86*Assumptions!$B$82</x:f>
        <x:v>0</x:v>
      </x:c>
      <x:c r="R59" s="379" t="n">
        <x:f>P46*Assumptions!$B$86*Assumptions!$B$82</x:f>
        <x:v>0</x:v>
      </x:c>
      <x:c r="S59" s="379" t="n">
        <x:f>Q46*Assumptions!$B$86*Assumptions!$B$82</x:f>
        <x:v>14000.000000000002</x:v>
      </x:c>
      <x:c r="T59" s="379" t="n">
        <x:f>R46*Assumptions!$B$86*Assumptions!$B$82</x:f>
        <x:v>0</x:v>
      </x:c>
      <x:c r="U59" s="379" t="n">
        <x:f>S46*Assumptions!$B$86*Assumptions!$B$82</x:f>
        <x:v>0</x:v>
      </x:c>
      <x:c r="V59" s="379" t="n">
        <x:f>T46*Assumptions!$B$86*Assumptions!$B$82</x:f>
        <x:v>14000.000000000002</x:v>
      </x:c>
      <x:c r="W59" s="227"/>
      <x:c r="X59" s="227"/>
      <x:c r="Y59" s="227"/>
      <x:c r="Z59" s="227"/>
    </x:row>
    <x:row r="60">
      <x:c r="A60" s="327" t="str">
        <x:v>Club processing cash</x:v>
      </x:c>
      <x:c r="B60" s="379" t="n">
        <x:f>(B45*Assumptions!$B$76*Assumptions!$B$78+B50)*Assumptions!$B$83</x:f>
        <x:v>0</x:v>
      </x:c>
      <x:c r="C60" s="379" t="n">
        <x:f>(C45*Assumptions!$B$76*Assumptions!$B$78+C50)*Assumptions!$B$83</x:f>
        <x:v>0</x:v>
      </x:c>
      <x:c r="D60" s="379" t="n">
        <x:f>(D45*Assumptions!$B$76*Assumptions!$B$78+D50)*Assumptions!$B$83</x:f>
        <x:v>0</x:v>
      </x:c>
      <x:c r="E60" s="379" t="n">
        <x:f>(E45*Assumptions!$B$76*Assumptions!$B$78+E50)*Assumptions!$B$83</x:f>
        <x:v>0</x:v>
      </x:c>
      <x:c r="F60" s="379" t="n">
        <x:f>(F45*Assumptions!$B$76*Assumptions!$B$78+F50)*Assumptions!$B$83</x:f>
        <x:v>1799.9999999999998</x:v>
      </x:c>
      <x:c r="G60" s="379" t="n">
        <x:f>(G45*Assumptions!$B$76*Assumptions!$B$78+G50)*Assumptions!$B$83</x:f>
        <x:v>0</x:v>
      </x:c>
      <x:c r="H60" s="379" t="n">
        <x:f>(H45*Assumptions!$B$76*Assumptions!$B$78+H50)*Assumptions!$B$83</x:f>
        <x:v>1799.9999999999998</x:v>
      </x:c>
      <x:c r="I60" s="379" t="n">
        <x:f>(I45*Assumptions!$B$76*Assumptions!$B$78+I50)*Assumptions!$B$83</x:f>
        <x:v>1799.9999999999998</x:v>
      </x:c>
      <x:c r="J60" s="379" t="n">
        <x:f>(J45*Assumptions!$B$76*Assumptions!$B$78+J50)*Assumptions!$B$83</x:f>
        <x:v>0</x:v>
      </x:c>
      <x:c r="K60" s="379" t="n">
        <x:f>(K45*Assumptions!$B$76*Assumptions!$B$78+K50)*Assumptions!$B$83</x:f>
        <x:v>1799.9999999999998</x:v>
      </x:c>
      <x:c r="L60" s="379" t="n">
        <x:f>(L45*Assumptions!$B$76*Assumptions!$B$78+L50)*Assumptions!$B$83</x:f>
        <x:v>1799.9999999999998</x:v>
      </x:c>
      <x:c r="M60" s="379" t="n">
        <x:f>(M45*Assumptions!$B$76*Assumptions!$B$78+M50)*Assumptions!$B$83</x:f>
        <x:v>0</x:v>
      </x:c>
      <x:c r="N60" s="379" t="n">
        <x:f>(N45*Assumptions!$B$76*Assumptions!$B$78+N50)*Assumptions!$B$83</x:f>
        <x:v>1799.9999999999998</x:v>
      </x:c>
      <x:c r="O60" s="379" t="n">
        <x:f>(O45*Assumptions!$B$76*Assumptions!$B$78+O50)*Assumptions!$B$83</x:f>
        <x:v>1799.9999999999998</x:v>
      </x:c>
      <x:c r="P60" s="379" t="n">
        <x:f>(P45*Assumptions!$B$76*Assumptions!$B$78+P50)*Assumptions!$B$83</x:f>
        <x:v>0</x:v>
      </x:c>
      <x:c r="Q60" s="379" t="n">
        <x:f>(Q45*Assumptions!$B$76*Assumptions!$B$78+Q50)*Assumptions!$B$83</x:f>
        <x:v>1799.9999999999998</x:v>
      </x:c>
      <x:c r="R60" s="379" t="n">
        <x:f>(R45*Assumptions!$B$76*Assumptions!$B$78+R50)*Assumptions!$B$83</x:f>
        <x:v>1799.9999999999998</x:v>
      </x:c>
      <x:c r="S60" s="379" t="n">
        <x:f>(S45*Assumptions!$B$76*Assumptions!$B$78+S50)*Assumptions!$B$83</x:f>
        <x:v>0</x:v>
      </x:c>
      <x:c r="T60" s="379" t="n">
        <x:f>(T45*Assumptions!$B$76*Assumptions!$B$78+T50)*Assumptions!$B$83</x:f>
        <x:v>1799.9999999999998</x:v>
      </x:c>
      <x:c r="U60" s="379" t="n">
        <x:f>(U45*Assumptions!$B$76*Assumptions!$B$78+U50)*Assumptions!$B$83</x:f>
        <x:v>1799.9999999999998</x:v>
      </x:c>
      <x:c r="V60" s="379" t="n">
        <x:f>(V45*Assumptions!$B$76*Assumptions!$B$78+V50)*Assumptions!$B$83</x:f>
        <x:v>0</x:v>
      </x:c>
      <x:c r="W60" s="227"/>
      <x:c r="X60" s="227"/>
      <x:c r="Y60" s="227"/>
      <x:c r="Z60" s="227"/>
    </x:row>
    <x:row r="61">
      <x:c r="A61" s="327"/>
      <x:c r="B61" s="385"/>
      <x:c r="C61" s="385"/>
      <x:c r="D61" s="385"/>
      <x:c r="E61" s="385"/>
      <x:c r="F61" s="385"/>
      <x:c r="G61" s="385"/>
      <x:c r="H61" s="385"/>
      <x:c r="I61" s="385"/>
      <x:c r="J61" s="385"/>
      <x:c r="K61" s="385"/>
      <x:c r="L61" s="385"/>
      <x:c r="M61" s="385"/>
      <x:c r="N61" s="385"/>
      <x:c r="O61" s="385"/>
      <x:c r="P61" s="385"/>
      <x:c r="Q61" s="385"/>
      <x:c r="R61" s="385"/>
      <x:c r="S61" s="385"/>
      <x:c r="T61" s="385"/>
      <x:c r="U61" s="385"/>
      <x:c r="V61" s="385"/>
      <x:c r="W61" s="227"/>
      <x:c r="X61" s="227"/>
      <x:c r="Y61" s="227"/>
      <x:c r="Z61" s="227"/>
    </x:row>
    <x:row r="62" ht="23" customHeight="1">
      <x:c r="A62" s="335" t="str">
        <x:v>P&amp;L AND CASH FLOW</x:v>
      </x:c>
      <x:c r="B62" s="386" t="str">
        <x:v>P&amp;L AND CASH FLOW</x:v>
      </x:c>
      <x:c r="C62" s="386" t="str">
        <x:v>P&amp;L AND CASH FLOW</x:v>
      </x:c>
      <x:c r="D62" s="386" t="str">
        <x:v>P&amp;L AND CASH FLOW</x:v>
      </x:c>
      <x:c r="E62" s="386" t="str">
        <x:v>P&amp;L AND CASH FLOW</x:v>
      </x:c>
      <x:c r="F62" s="386" t="str">
        <x:v>P&amp;L AND CASH FLOW</x:v>
      </x:c>
      <x:c r="G62" s="386" t="str">
        <x:v>P&amp;L AND CASH FLOW</x:v>
      </x:c>
      <x:c r="H62" s="386" t="str">
        <x:v>P&amp;L AND CASH FLOW</x:v>
      </x:c>
      <x:c r="I62" s="386" t="str">
        <x:v>P&amp;L AND CASH FLOW</x:v>
      </x:c>
      <x:c r="J62" s="386" t="str">
        <x:v>P&amp;L AND CASH FLOW</x:v>
      </x:c>
      <x:c r="K62" s="386" t="str">
        <x:v>P&amp;L AND CASH FLOW</x:v>
      </x:c>
      <x:c r="L62" s="386" t="str">
        <x:v>P&amp;L AND CASH FLOW</x:v>
      </x:c>
      <x:c r="M62" s="386" t="str">
        <x:v>P&amp;L AND CASH FLOW</x:v>
      </x:c>
      <x:c r="N62" s="386" t="str">
        <x:v>P&amp;L AND CASH FLOW</x:v>
      </x:c>
      <x:c r="O62" s="386" t="str">
        <x:v>P&amp;L AND CASH FLOW</x:v>
      </x:c>
      <x:c r="P62" s="386" t="str">
        <x:v>P&amp;L AND CASH FLOW</x:v>
      </x:c>
      <x:c r="Q62" s="386" t="str">
        <x:v>P&amp;L AND CASH FLOW</x:v>
      </x:c>
      <x:c r="R62" s="386" t="str">
        <x:v>P&amp;L AND CASH FLOW</x:v>
      </x:c>
      <x:c r="S62" s="386" t="str">
        <x:v>P&amp;L AND CASH FLOW</x:v>
      </x:c>
      <x:c r="T62" s="386" t="str">
        <x:v>P&amp;L AND CASH FLOW</x:v>
      </x:c>
      <x:c r="U62" s="386" t="str">
        <x:v>P&amp;L AND CASH FLOW</x:v>
      </x:c>
      <x:c r="V62" s="386" t="str">
        <x:v>P&amp;L AND CASH FLOW</x:v>
      </x:c>
      <x:c r="W62" s="227"/>
      <x:c r="X62" s="227"/>
      <x:c r="Y62" s="227"/>
      <x:c r="Z62" s="227"/>
    </x:row>
    <x:row r="63">
      <x:c r="A63" s="337" t="str">
        <x:v>Total recognised gross revenue</x:v>
      </x:c>
      <x:c r="B63" s="387" t="n">
        <x:f>B36+B47</x:f>
        <x:v>0</x:v>
      </x:c>
      <x:c r="C63" s="387" t="n">
        <x:f>C36+C47</x:f>
        <x:v>0</x:v>
      </x:c>
      <x:c r="D63" s="387" t="n">
        <x:f>D36+D47</x:f>
        <x:v>7455</x:v>
      </x:c>
      <x:c r="E63" s="387" t="n">
        <x:f>E36+E47</x:f>
        <x:v>10295</x:v>
      </x:c>
      <x:c r="F63" s="387" t="n">
        <x:f>F36+F47</x:f>
        <x:v>14910</x:v>
      </x:c>
      <x:c r="G63" s="387" t="n">
        <x:f>G36+G47</x:f>
        <x:v>14910</x:v>
      </x:c>
      <x:c r="H63" s="387" t="n">
        <x:f>H36+H47</x:f>
        <x:v>214910</x:v>
      </x:c>
      <x:c r="I63" s="387" t="n">
        <x:f>I36+I47</x:f>
        <x:v>188638.125</x:v>
      </x:c>
      <x:c r="J63" s="387" t="n">
        <x:f>J36+J47</x:f>
        <x:v>246547.5</x:v>
      </x:c>
      <x:c r="K63" s="387" t="n">
        <x:f>K36+K47</x:f>
        <x:v>446547.5</x:v>
      </x:c>
      <x:c r="L63" s="387" t="n">
        <x:f>L36+L47</x:f>
        <x:v>246547.5</x:v>
      </x:c>
      <x:c r="M63" s="387" t="n">
        <x:f>M36+M47</x:f>
        <x:v>246547.5</x:v>
      </x:c>
      <x:c r="N63" s="387" t="n">
        <x:f>N36+N47</x:f>
        <x:v>1025641.25</x:v>
      </x:c>
      <x:c r="O63" s="387" t="n">
        <x:f>O36+O47</x:f>
        <x:v>1597766.25</x:v>
      </x:c>
      <x:c r="P63" s="387" t="n">
        <x:f>P36+P47</x:f>
        <x:v>2369891.25</x:v>
      </x:c>
      <x:c r="Q63" s="387" t="n">
        <x:f>Q36+Q47</x:f>
        <x:v>3921110</x:v>
      </x:c>
      <x:c r="R63" s="387" t="n">
        <x:f>R36+R47</x:f>
        <x:v>4107172.5</x:v>
      </x:c>
      <x:c r="S63" s="387" t="n">
        <x:f>S36+S47</x:f>
        <x:v>5265360</x:v>
      </x:c>
      <x:c r="T63" s="387" t="n">
        <x:f>T36+T47</x:f>
        <x:v>5851422.5</x:v>
      </x:c>
      <x:c r="U63" s="387" t="n">
        <x:f>U36+U47</x:f>
        <x:v>7388703.75</x:v>
      </x:c>
      <x:c r="V63" s="387" t="n">
        <x:f>V36+V47</x:f>
        <x:v>7967797.5</x:v>
      </x:c>
      <x:c r="W63" s="227"/>
      <x:c r="X63" s="227"/>
      <x:c r="Y63" s="227"/>
      <x:c r="Z63" s="227"/>
    </x:row>
    <x:row r="64">
      <x:c r="A64" s="337" t="str">
        <x:v>Net revenue retained</x:v>
      </x:c>
      <x:c r="B64" s="387" t="n">
        <x:f>B36+B48</x:f>
        <x:v>0</x:v>
      </x:c>
      <x:c r="C64" s="387" t="n">
        <x:f>C36+C48</x:f>
        <x:v>0</x:v>
      </x:c>
      <x:c r="D64" s="387" t="n">
        <x:f>D36+D48</x:f>
        <x:v>7455</x:v>
      </x:c>
      <x:c r="E64" s="387" t="n">
        <x:f>E36+E48</x:f>
        <x:v>10295</x:v>
      </x:c>
      <x:c r="F64" s="387" t="n">
        <x:f>F36+F48</x:f>
        <x:v>14910</x:v>
      </x:c>
      <x:c r="G64" s="387" t="n">
        <x:f>G36+G48</x:f>
        <x:v>14910</x:v>
      </x:c>
      <x:c r="H64" s="387" t="n">
        <x:f>H36+H48</x:f>
        <x:v>134910</x:v>
      </x:c>
      <x:c r="I64" s="387" t="n">
        <x:f>I36+I48</x:f>
        <x:v>188638.125</x:v>
      </x:c>
      <x:c r="J64" s="387" t="n">
        <x:f>J36+J48</x:f>
        <x:v>246547.5</x:v>
      </x:c>
      <x:c r="K64" s="387" t="n">
        <x:f>K36+K48</x:f>
        <x:v>366547.5</x:v>
      </x:c>
      <x:c r="L64" s="387" t="n">
        <x:f>L36+L48</x:f>
        <x:v>246547.5</x:v>
      </x:c>
      <x:c r="M64" s="387" t="n">
        <x:f>M36+M48</x:f>
        <x:v>246547.5</x:v>
      </x:c>
      <x:c r="N64" s="387" t="n">
        <x:f>N36+N48</x:f>
        <x:v>945641.25</x:v>
      </x:c>
      <x:c r="O64" s="387" t="n">
        <x:f>O36+O48</x:f>
        <x:v>1597766.25</x:v>
      </x:c>
      <x:c r="P64" s="387" t="n">
        <x:f>P36+P48</x:f>
        <x:v>2369891.25</x:v>
      </x:c>
      <x:c r="Q64" s="387" t="n">
        <x:f>Q36+Q48</x:f>
        <x:v>3841110</x:v>
      </x:c>
      <x:c r="R64" s="387" t="n">
        <x:f>R36+R48</x:f>
        <x:v>4107172.5</x:v>
      </x:c>
      <x:c r="S64" s="387" t="n">
        <x:f>S36+S48</x:f>
        <x:v>5265360</x:v>
      </x:c>
      <x:c r="T64" s="387" t="n">
        <x:f>T36+T48</x:f>
        <x:v>5771422.5</x:v>
      </x:c>
      <x:c r="U64" s="387" t="n">
        <x:f>U36+U48</x:f>
        <x:v>7388703.75</x:v>
      </x:c>
      <x:c r="V64" s="387" t="n">
        <x:f>V36+V48</x:f>
        <x:v>7967797.5</x:v>
      </x:c>
      <x:c r="W64" s="227"/>
      <x:c r="X64" s="227"/>
      <x:c r="Y64" s="227"/>
      <x:c r="Z64" s="227"/>
    </x:row>
    <x:row r="65">
      <x:c r="A65" s="327" t="str">
        <x:v>Total variable costs</x:v>
      </x:c>
      <x:c r="B65" s="379" t="n">
        <x:f>SUM(B37:B41)+SUM(B51:B54)</x:f>
        <x:v>0</x:v>
      </x:c>
      <x:c r="C65" s="379" t="n">
        <x:f>SUM(C37:C41)+SUM(C51:C54)</x:f>
        <x:v>0</x:v>
      </x:c>
      <x:c r="D65" s="379" t="n">
        <x:f>SUM(D37:D41)+SUM(D51:D54)</x:f>
        <x:v>2219.7</x:v>
      </x:c>
      <x:c r="E65" s="379" t="n">
        <x:f>SUM(E37:E41)+SUM(E51:E54)</x:f>
        <x:v>3065.2999999999997</x:v>
      </x:c>
      <x:c r="F65" s="379" t="n">
        <x:f>SUM(F37:F41)+SUM(F51:F54)</x:f>
        <x:v>4439.4</x:v>
      </x:c>
      <x:c r="G65" s="379" t="n">
        <x:f>SUM(G37:G41)+SUM(G51:G54)</x:f>
        <x:v>4439.4</x:v>
      </x:c>
      <x:c r="H65" s="379" t="n">
        <x:f>SUM(H37:H41)+SUM(H51:H54)</x:f>
        <x:v>127039.4</x:v>
      </x:c>
      <x:c r="I65" s="379" t="n">
        <x:f>SUM(I37:I41)+SUM(I51:I54)</x:f>
        <x:v>82225.55625</x:v>
      </x:c>
      <x:c r="J65" s="379" t="n">
        <x:f>SUM(J37:J41)+SUM(J51:J54)</x:f>
        <x:v>108154.275</x:v>
      </x:c>
      <x:c r="K65" s="379" t="n">
        <x:f>SUM(K37:K41)+SUM(K51:K54)</x:f>
        <x:v>230754.275</x:v>
      </x:c>
      <x:c r="L65" s="379" t="n">
        <x:f>SUM(L37:L41)+SUM(L51:L54)</x:f>
        <x:v>108154.275</x:v>
      </x:c>
      <x:c r="M65" s="379" t="n">
        <x:f>SUM(M37:M41)+SUM(M51:M54)</x:f>
        <x:v>108154.275</x:v>
      </x:c>
      <x:c r="N65" s="379" t="n">
        <x:f>SUM(N37:N41)+SUM(N51:N54)</x:f>
        <x:v>490041.46249999997</x:v>
      </x:c>
      <x:c r="O65" s="379" t="n">
        <x:f>SUM(O37:O41)+SUM(O51:O54)</x:f>
        <x:v>713157.7124999999</x:v>
      </x:c>
      <x:c r="P65" s="379" t="n">
        <x:f>SUM(P37:P41)+SUM(P51:P54)</x:f>
        <x:v>1058873.9625</x:v>
      </x:c>
      <x:c r="Q65" s="379" t="n">
        <x:f>SUM(Q37:Q41)+SUM(Q51:Q54)</x:f>
        <x:v>1786477.4</x:v>
      </x:c>
      <x:c r="R65" s="379" t="n">
        <x:f>SUM(R37:R41)+SUM(R51:R54)</x:f>
        <x:v>1836735.525</x:v>
      </x:c>
      <x:c r="S65" s="379" t="n">
        <x:f>SUM(S37:S41)+SUM(S51:S54)</x:f>
        <x:v>2355309.9</x:v>
      </x:c>
      <x:c r="T65" s="379" t="n">
        <x:f>SUM(T37:T41)+SUM(T51:T54)</x:f>
        <x:v>2650768.025</x:v>
      </x:c>
      <x:c r="U65" s="379" t="n">
        <x:f>SUM(U37:U41)+SUM(U51:U54)</x:f>
        <x:v>3306029.5875</x:v>
      </x:c>
      <x:c r="V65" s="379" t="n">
        <x:f>SUM(V37:V41)+SUM(V51:V54)</x:f>
        <x:v>3565316.775</x:v>
      </x:c>
      <x:c r="W65" s="227"/>
      <x:c r="X65" s="227"/>
      <x:c r="Y65" s="227"/>
      <x:c r="Z65" s="227"/>
    </x:row>
    <x:row r="66">
      <x:c r="A66" s="337" t="str">
        <x:v>Gross contribution</x:v>
      </x:c>
      <x:c r="B66" s="387" t="n">
        <x:f>B63-B65</x:f>
        <x:v>0</x:v>
      </x:c>
      <x:c r="C66" s="387" t="n">
        <x:f>C63-C65</x:f>
        <x:v>0</x:v>
      </x:c>
      <x:c r="D66" s="387" t="n">
        <x:f>D63-D65</x:f>
        <x:v>5235.3</x:v>
      </x:c>
      <x:c r="E66" s="387" t="n">
        <x:f>E63-E65</x:f>
        <x:v>7229.700000000001</x:v>
      </x:c>
      <x:c r="F66" s="387" t="n">
        <x:f>F63-F65</x:f>
        <x:v>10470.6</x:v>
      </x:c>
      <x:c r="G66" s="387" t="n">
        <x:f>G63-G65</x:f>
        <x:v>10470.6</x:v>
      </x:c>
      <x:c r="H66" s="387" t="n">
        <x:f>H63-H65</x:f>
        <x:v>87870.6</x:v>
      </x:c>
      <x:c r="I66" s="387" t="n">
        <x:f>I63-I65</x:f>
        <x:v>106412.56875</x:v>
      </x:c>
      <x:c r="J66" s="387" t="n">
        <x:f>J63-J65</x:f>
        <x:v>138393.225</x:v>
      </x:c>
      <x:c r="K66" s="387" t="n">
        <x:f>K63-K65</x:f>
        <x:v>215793.225</x:v>
      </x:c>
      <x:c r="L66" s="387" t="n">
        <x:f>L63-L65</x:f>
        <x:v>138393.225</x:v>
      </x:c>
      <x:c r="M66" s="387" t="n">
        <x:f>M63-M65</x:f>
        <x:v>138393.225</x:v>
      </x:c>
      <x:c r="N66" s="387" t="n">
        <x:f>N63-N65</x:f>
        <x:v>535599.7875000001</x:v>
      </x:c>
      <x:c r="O66" s="387" t="n">
        <x:f>O63-O65</x:f>
        <x:v>884608.5375000001</x:v>
      </x:c>
      <x:c r="P66" s="387" t="n">
        <x:f>P63-P65</x:f>
        <x:v>1311017.2875</x:v>
      </x:c>
      <x:c r="Q66" s="387" t="n">
        <x:f>Q63-Q65</x:f>
        <x:v>2134632.6</x:v>
      </x:c>
      <x:c r="R66" s="387" t="n">
        <x:f>R63-R65</x:f>
        <x:v>2270436.975</x:v>
      </x:c>
      <x:c r="S66" s="387" t="n">
        <x:f>S63-S65</x:f>
        <x:v>2910050.1</x:v>
      </x:c>
      <x:c r="T66" s="387" t="n">
        <x:f>T63-T65</x:f>
        <x:v>3200654.475</x:v>
      </x:c>
      <x:c r="U66" s="387" t="n">
        <x:f>U63-U65</x:f>
        <x:v>4082674.1625</x:v>
      </x:c>
      <x:c r="V66" s="387" t="n">
        <x:f>V63-V65</x:f>
        <x:v>4402480.725</x:v>
      </x:c>
      <x:c r="W66" s="227"/>
      <x:c r="X66" s="227"/>
      <x:c r="Y66" s="227"/>
      <x:c r="Z66" s="227"/>
    </x:row>
    <x:row r="67">
      <x:c r="A67" s="327" t="str">
        <x:v>Fixed OPEX</x:v>
      </x:c>
      <x:c r="B67" s="379" t="n">
        <x:f>B19</x:f>
        <x:v>0</x:v>
      </x:c>
      <x:c r="C67" s="379" t="n">
        <x:f>C19</x:f>
        <x:v>15700</x:v>
      </x:c>
      <x:c r="D67" s="379" t="n">
        <x:f>D19</x:f>
        <x:v>15700</x:v>
      </x:c>
      <x:c r="E67" s="379" t="n">
        <x:f>E19</x:f>
        <x:v>15700</x:v>
      </x:c>
      <x:c r="F67" s="379" t="n">
        <x:f>F19</x:f>
        <x:v>15700</x:v>
      </x:c>
      <x:c r="G67" s="379" t="n">
        <x:f>G19</x:f>
        <x:v>15700</x:v>
      </x:c>
      <x:c r="H67" s="379" t="n">
        <x:f>H19</x:f>
        <x:v>15700</x:v>
      </x:c>
      <x:c r="I67" s="379" t="n">
        <x:f>I19</x:f>
        <x:v>15700</x:v>
      </x:c>
      <x:c r="J67" s="379" t="n">
        <x:f>J19</x:f>
        <x:v>15700</x:v>
      </x:c>
      <x:c r="K67" s="379" t="n">
        <x:f>K19</x:f>
        <x:v>15700</x:v>
      </x:c>
      <x:c r="L67" s="379" t="n">
        <x:f>L19</x:f>
        <x:v>15700</x:v>
      </x:c>
      <x:c r="M67" s="379" t="n">
        <x:f>M19</x:f>
        <x:v>15700</x:v>
      </x:c>
      <x:c r="N67" s="379" t="n">
        <x:f>N19</x:f>
        <x:v>60000</x:v>
      </x:c>
      <x:c r="O67" s="379" t="n">
        <x:f>O19</x:f>
        <x:v>110000</x:v>
      </x:c>
      <x:c r="P67" s="379" t="n">
        <x:f>P19</x:f>
        <x:v>180000</x:v>
      </x:c>
      <x:c r="Q67" s="379" t="n">
        <x:f>Q19</x:f>
        <x:v>302467.2399395251</x:v>
      </x:c>
      <x:c r="R67" s="379" t="n">
        <x:f>R19</x:f>
        <x:v>302467.2399395251</x:v>
      </x:c>
      <x:c r="S67" s="379" t="n">
        <x:f>S19</x:f>
        <x:v>389775.4228844533</x:v>
      </x:c>
      <x:c r="T67" s="379" t="n">
        <x:f>T19</x:f>
        <x:v>389775.4228844533</x:v>
      </x:c>
      <x:c r="U67" s="379" t="n">
        <x:f>U19</x:f>
        <x:v>514832.12633281323</x:v>
      </x:c>
      <x:c r="V67" s="379" t="n">
        <x:f>V19</x:f>
        <x:v>514832.12633281323</x:v>
      </x:c>
      <x:c r="W67" s="227"/>
      <x:c r="X67" s="227"/>
      <x:c r="Y67" s="227"/>
      <x:c r="Z67" s="227"/>
    </x:row>
    <x:row r="68">
      <x:c r="A68" s="339" t="str">
        <x:v>EBITDA</x:v>
      </x:c>
      <x:c r="B68" s="388" t="n">
        <x:f>B66-B67</x:f>
        <x:v>0</x:v>
      </x:c>
      <x:c r="C68" s="388" t="n">
        <x:f>C66-C67</x:f>
        <x:v>-15700</x:v>
      </x:c>
      <x:c r="D68" s="388" t="n">
        <x:f>D66-D67</x:f>
        <x:v>-10464.7</x:v>
      </x:c>
      <x:c r="E68" s="388" t="n">
        <x:f>E66-E67</x:f>
        <x:v>-8470.3</x:v>
      </x:c>
      <x:c r="F68" s="388" t="n">
        <x:f>F66-F67</x:f>
        <x:v>-5229.4</x:v>
      </x:c>
      <x:c r="G68" s="388" t="n">
        <x:f>G66-G67</x:f>
        <x:v>-5229.4</x:v>
      </x:c>
      <x:c r="H68" s="388" t="n">
        <x:f>H66-H67</x:f>
        <x:v>72170.6</x:v>
      </x:c>
      <x:c r="I68" s="388" t="n">
        <x:f>I66-I67</x:f>
        <x:v>90712.56875</x:v>
      </x:c>
      <x:c r="J68" s="388" t="n">
        <x:f>J66-J67</x:f>
        <x:v>122693.225</x:v>
      </x:c>
      <x:c r="K68" s="388" t="n">
        <x:f>K66-K67</x:f>
        <x:v>200093.225</x:v>
      </x:c>
      <x:c r="L68" s="388" t="n">
        <x:f>L66-L67</x:f>
        <x:v>122693.225</x:v>
      </x:c>
      <x:c r="M68" s="388" t="n">
        <x:f>M66-M67</x:f>
        <x:v>122693.225</x:v>
      </x:c>
      <x:c r="N68" s="388" t="n">
        <x:f>N66-N67</x:f>
        <x:v>475599.7875000001</x:v>
      </x:c>
      <x:c r="O68" s="388" t="n">
        <x:f>O66-O67</x:f>
        <x:v>774608.5375000001</x:v>
      </x:c>
      <x:c r="P68" s="388" t="n">
        <x:f>P66-P67</x:f>
        <x:v>1131017.2875</x:v>
      </x:c>
      <x:c r="Q68" s="388" t="n">
        <x:f>Q66-Q67</x:f>
        <x:v>1832165.360060475</x:v>
      </x:c>
      <x:c r="R68" s="388" t="n">
        <x:f>R66-R67</x:f>
        <x:v>1967969.735060475</x:v>
      </x:c>
      <x:c r="S68" s="388" t="n">
        <x:f>S66-S67</x:f>
        <x:v>2520274.6771155465</x:v>
      </x:c>
      <x:c r="T68" s="388" t="n">
        <x:f>T66-T67</x:f>
        <x:v>2810879.0521155465</x:v>
      </x:c>
      <x:c r="U68" s="388" t="n">
        <x:f>U66-U67</x:f>
        <x:v>3567842.0361671867</x:v>
      </x:c>
      <x:c r="V68" s="388" t="n">
        <x:f>V66-V67</x:f>
        <x:v>3887648.598667186</x:v>
      </x:c>
      <x:c r="W68" s="227"/>
      <x:c r="X68" s="227"/>
      <x:c r="Y68" s="227"/>
      <x:c r="Z68" s="227"/>
    </x:row>
    <x:row r="69">
      <x:c r="A69" s="327" t="str">
        <x:v>EBITDA margin</x:v>
      </x:c>
      <x:c r="B69" s="389" t="n">
        <x:f>IF(B63=0,0,B68/B63)</x:f>
        <x:v>0</x:v>
      </x:c>
      <x:c r="C69" s="389" t="n">
        <x:f>IF(C63=0,0,C68/C63)</x:f>
        <x:v>0</x:v>
      </x:c>
      <x:c r="D69" s="389" t="n">
        <x:f>IF(D63=0,0,D68/D63)</x:f>
        <x:v>-1.4037156270959088</x:v>
      </x:c>
      <x:c r="E69" s="389" t="n">
        <x:f>IF(E63=0,0,E68/E63)</x:f>
        <x:v>-0.8227586206896551</x:v>
      </x:c>
      <x:c r="F69" s="389" t="n">
        <x:f>IF(F63=0,0,F68/F63)</x:f>
        <x:v>-0.3507310529845741</x:v>
      </x:c>
      <x:c r="G69" s="389" t="n">
        <x:f>IF(G63=0,0,G68/G63)</x:f>
        <x:v>-0.3507310529845741</x:v>
      </x:c>
      <x:c r="H69" s="389" t="n">
        <x:f>IF(H63=0,0,H68/H63)</x:f>
        <x:v>0.3358177841887302</x:v>
      </x:c>
      <x:c r="I69" s="389" t="n">
        <x:f>IF(I63=0,0,I68/I63)</x:f>
        <x:v>0.4808814164687017</x:v>
      </x:c>
      <x:c r="J69" s="389" t="n">
        <x:f>IF(J63=0,0,J68/J63)</x:f>
        <x:v>0.49764538273557835</x:v>
      </x:c>
      <x:c r="K69" s="389" t="n">
        <x:f>IF(K63=0,0,K68/K63)</x:f>
        <x:v>0.44808945296972885</x:v>
      </x:c>
      <x:c r="L69" s="389" t="n">
        <x:f>IF(L63=0,0,L68/L63)</x:f>
        <x:v>0.49764538273557835</x:v>
      </x:c>
      <x:c r="M69" s="389" t="n">
        <x:f>IF(M63=0,0,M68/M63)</x:f>
        <x:v>0.49764538273557835</x:v>
      </x:c>
      <x:c r="N69" s="389" t="n">
        <x:f>IF(N63=0,0,N68/N63)</x:f>
        <x:v>0.4637096913760051</x:v>
      </x:c>
      <x:c r="O69" s="389" t="n">
        <x:f>IF(O63=0,0,O68/O63)</x:f>
        <x:v>0.48480717220056446</x:v>
      </x:c>
      <x:c r="P69" s="389" t="n">
        <x:f>IF(P63=0,0,P68/P63)</x:f>
        <x:v>0.47724438304922223</x:v>
      </x:c>
      <x:c r="Q69" s="389" t="n">
        <x:f>IF(Q63=0,0,Q68/Q63)</x:f>
        <x:v>0.46725681249964296</x:v>
      </x:c>
      <x:c r="R69" s="389" t="n">
        <x:f>IF(R63=0,0,R68/R63)</x:f>
        <x:v>0.47915439029173357</x:v>
      </x:c>
      <x:c r="S69" s="389" t="n">
        <x:f>IF(S63=0,0,S68/S63)</x:f>
        <x:v>0.47865192068833784</x:v>
      </x:c>
      <x:c r="T69" s="389" t="n">
        <x:f>IF(T63=0,0,T68/T63)</x:f>
        <x:v>0.4803753364443512</x:v>
      </x:c>
      <x:c r="U69" s="389" t="n">
        <x:f>IF(U63=0,0,U68/U63)</x:f>
        <x:v>0.4828779386596988</x:v>
      </x:c>
      <x:c r="V69" s="389" t="n">
        <x:f>IF(V63=0,0,V68/V63)</x:f>
        <x:v>0.48792010573401073</x:v>
      </x:c>
      <x:c r="W69" s="227"/>
      <x:c r="X69" s="227"/>
      <x:c r="Y69" s="227"/>
      <x:c r="Z69" s="227"/>
    </x:row>
    <x:row r="70">
      <x:c r="A70" s="327" t="str">
        <x:v>Machine deposit cash</x:v>
      </x:c>
      <x:c r="B70" s="379" t="n">
        <x:f>B12</x:f>
        <x:v>0</x:v>
      </x:c>
      <x:c r="C70" s="379" t="n">
        <x:f>C12</x:f>
        <x:v>0</x:v>
      </x:c>
      <x:c r="D70" s="379" t="n">
        <x:f>D12</x:f>
        <x:v>20757.500000000004</x:v>
      </x:c>
      <x:c r="E70" s="379" t="n">
        <x:f>E12</x:f>
        <x:v>0</x:v>
      </x:c>
      <x:c r="F70" s="379" t="n">
        <x:f>F12</x:f>
        <x:v>0</x:v>
      </x:c>
      <x:c r="G70" s="379" t="n">
        <x:f>G12</x:f>
        <x:v>0</x:v>
      </x:c>
      <x:c r="H70" s="379" t="n">
        <x:f>H12</x:f>
        <x:v>0</x:v>
      </x:c>
      <x:c r="I70" s="379" t="n">
        <x:f>I12</x:f>
        <x:v>69191.66666666667</x:v>
      </x:c>
      <x:c r="J70" s="379" t="n">
        <x:f>J12</x:f>
        <x:v>69191.66666666667</x:v>
      </x:c>
      <x:c r="K70" s="379" t="n">
        <x:f>K12</x:f>
        <x:v>69191.66666666667</x:v>
      </x:c>
      <x:c r="L70" s="379" t="n">
        <x:f>L12</x:f>
        <x:v>138383.33333333334</x:v>
      </x:c>
      <x:c r="M70" s="379" t="n">
        <x:f>M12</x:f>
        <x:v>0</x:v>
      </x:c>
      <x:c r="N70" s="379" t="n">
        <x:f>N12</x:f>
        <x:v>138383.33333333334</x:v>
      </x:c>
      <x:c r="O70" s="379" t="n">
        <x:f>O12</x:f>
        <x:v>0</x:v>
      </x:c>
      <x:c r="P70" s="379" t="n">
        <x:f>P12</x:f>
        <x:v>207575.00000000003</x:v>
      </x:c>
      <x:c r="Q70" s="379" t="n">
        <x:f>Q12</x:f>
        <x:v>0</x:v>
      </x:c>
      <x:c r="R70" s="379" t="n">
        <x:f>R12</x:f>
        <x:v>0</x:v>
      </x:c>
      <x:c r="S70" s="379" t="n">
        <x:f>S12</x:f>
        <x:v>0</x:v>
      </x:c>
      <x:c r="T70" s="379" t="n">
        <x:f>T12</x:f>
        <x:v>0</x:v>
      </x:c>
      <x:c r="U70" s="379" t="n">
        <x:f>U12</x:f>
        <x:v>0</x:v>
      </x:c>
      <x:c r="V70" s="379" t="n">
        <x:f>V12</x:f>
        <x:v>0</x:v>
      </x:c>
      <x:c r="W70" s="227"/>
      <x:c r="X70" s="227"/>
      <x:c r="Y70" s="227"/>
      <x:c r="Z70" s="227"/>
    </x:row>
    <x:row r="71">
      <x:c r="A71" s="327" t="str">
        <x:v>Machine balance cash</x:v>
      </x:c>
      <x:c r="B71" s="379" t="n">
        <x:f>B13</x:f>
        <x:v>0</x:v>
      </x:c>
      <x:c r="C71" s="379" t="n">
        <x:f>C13</x:f>
        <x:v>0</x:v>
      </x:c>
      <x:c r="D71" s="379" t="n">
        <x:f>D13</x:f>
        <x:v>0</x:v>
      </x:c>
      <x:c r="E71" s="379" t="n">
        <x:f>E13</x:f>
        <x:v>0</x:v>
      </x:c>
      <x:c r="F71" s="379" t="n">
        <x:f>F13</x:f>
        <x:v>62272.500000000015</x:v>
      </x:c>
      <x:c r="G71" s="379" t="n">
        <x:f>G13</x:f>
        <x:v>0</x:v>
      </x:c>
      <x:c r="H71" s="379" t="n">
        <x:f>H13</x:f>
        <x:v>0</x:v>
      </x:c>
      <x:c r="I71" s="379" t="n">
        <x:f>I13</x:f>
        <x:v>0</x:v>
      </x:c>
      <x:c r="J71" s="379" t="n">
        <x:f>J13</x:f>
        <x:v>0</x:v>
      </x:c>
      <x:c r="K71" s="379" t="n">
        <x:f>K13</x:f>
        <x:v>207575</x:v>
      </x:c>
      <x:c r="L71" s="379" t="n">
        <x:f>L13</x:f>
        <x:v>207575</x:v>
      </x:c>
      <x:c r="M71" s="379" t="n">
        <x:f>M13</x:f>
        <x:v>207575</x:v>
      </x:c>
      <x:c r="N71" s="379" t="n">
        <x:f>N13</x:f>
        <x:v>415150</x:v>
      </x:c>
      <x:c r="O71" s="379" t="n">
        <x:f>O13</x:f>
        <x:v>0</x:v>
      </x:c>
      <x:c r="P71" s="379" t="n">
        <x:f>P13</x:f>
        <x:v>415150</x:v>
      </x:c>
      <x:c r="Q71" s="379" t="n">
        <x:f>Q13</x:f>
        <x:v>0</x:v>
      </x:c>
      <x:c r="R71" s="379" t="n">
        <x:f>R13</x:f>
        <x:v>622725.0000000001</x:v>
      </x:c>
      <x:c r="S71" s="379" t="n">
        <x:f>S13</x:f>
        <x:v>0</x:v>
      </x:c>
      <x:c r="T71" s="379" t="n">
        <x:f>T13</x:f>
        <x:v>0</x:v>
      </x:c>
      <x:c r="U71" s="379" t="n">
        <x:f>U13</x:f>
        <x:v>0</x:v>
      </x:c>
      <x:c r="V71" s="379" t="n">
        <x:f>V13</x:f>
        <x:v>0</x:v>
      </x:c>
      <x:c r="W71" s="227"/>
      <x:c r="X71" s="227"/>
      <x:c r="Y71" s="227"/>
      <x:c r="Z71" s="227"/>
    </x:row>
    <x:row r="72">
      <x:c r="A72" s="327" t="str">
        <x:v>Installation cash paid (60d)</x:v>
      </x:c>
      <x:c r="B72" s="379" t="n">
        <x:f>0</x:f>
        <x:v>0</x:v>
      </x:c>
      <x:c r="C72" s="379" t="n">
        <x:f>0</x:f>
        <x:v>0</x:v>
      </x:c>
      <x:c r="D72" s="379" t="n">
        <x:f>B14*Assumptions!$B$36</x:f>
        <x:v>0</x:v>
      </x:c>
      <x:c r="E72" s="379" t="n">
        <x:f>C14*Assumptions!$B$36</x:f>
        <x:v>0</x:v>
      </x:c>
      <x:c r="F72" s="379" t="n">
        <x:f>D14*Assumptions!$B$36</x:f>
        <x:v>0</x:v>
      </x:c>
      <x:c r="G72" s="379" t="n">
        <x:f>E14*Assumptions!$B$36</x:f>
        <x:v>0</x:v>
      </x:c>
      <x:c r="H72" s="379" t="n">
        <x:f>F14*Assumptions!$B$36</x:f>
        <x:v>0</x:v>
      </x:c>
      <x:c r="I72" s="379" t="n">
        <x:f>G14*Assumptions!$B$36</x:f>
        <x:v>0</x:v>
      </x:c>
      <x:c r="J72" s="379" t="n">
        <x:f>H14*Assumptions!$B$36</x:f>
        <x:v>0</x:v>
      </x:c>
      <x:c r="K72" s="379" t="n">
        <x:f>I14*Assumptions!$B$36</x:f>
        <x:v>4500</x:v>
      </x:c>
      <x:c r="L72" s="379" t="n">
        <x:f>J14*Assumptions!$B$36</x:f>
        <x:v>0</x:v>
      </x:c>
      <x:c r="M72" s="379" t="n">
        <x:f>K14*Assumptions!$B$36</x:f>
        <x:v>0</x:v>
      </x:c>
      <x:c r="N72" s="379" t="n">
        <x:f>L14*Assumptions!$B$36</x:f>
        <x:v>0</x:v>
      </x:c>
      <x:c r="O72" s="379" t="n">
        <x:f>M14*Assumptions!$B$36</x:f>
        <x:v>0</x:v>
      </x:c>
      <x:c r="P72" s="379" t="n">
        <x:f>N14*Assumptions!$B$36</x:f>
        <x:v>15000</x:v>
      </x:c>
      <x:c r="Q72" s="379" t="n">
        <x:f>O14*Assumptions!$B$36</x:f>
        <x:v>15000</x:v>
      </x:c>
      <x:c r="R72" s="379" t="n">
        <x:f>P14*Assumptions!$B$36</x:f>
        <x:v>15000</x:v>
      </x:c>
      <x:c r="S72" s="379" t="n">
        <x:f>Q14*Assumptions!$B$36</x:f>
        <x:v>30000</x:v>
      </x:c>
      <x:c r="T72" s="379" t="n">
        <x:f>R14*Assumptions!$B$36</x:f>
        <x:v>0</x:v>
      </x:c>
      <x:c r="U72" s="379" t="n">
        <x:f>S14*Assumptions!$B$36</x:f>
        <x:v>30000</x:v>
      </x:c>
      <x:c r="V72" s="379" t="n">
        <x:f>T14*Assumptions!$B$36</x:f>
        <x:v>0</x:v>
      </x:c>
      <x:c r="W72" s="227"/>
      <x:c r="X72" s="227"/>
      <x:c r="Y72" s="227"/>
      <x:c r="Z72" s="227"/>
    </x:row>
    <x:row r="73">
      <x:c r="A73" s="327" t="str">
        <x:v>Vending logistics cash paid (60d)</x:v>
      </x:c>
      <x:c r="B73" s="379" t="n">
        <x:f>0</x:f>
        <x:v>0</x:v>
      </x:c>
      <x:c r="C73" s="379" t="n">
        <x:f>0</x:f>
        <x:v>0</x:v>
      </x:c>
      <x:c r="D73" s="379" t="n">
        <x:f>B36*Assumptions!$B$56</x:f>
        <x:v>0</x:v>
      </x:c>
      <x:c r="E73" s="379" t="n">
        <x:f>C36*Assumptions!$B$56</x:f>
        <x:v>0</x:v>
      </x:c>
      <x:c r="F73" s="379" t="n">
        <x:f>D36*Assumptions!$B$56</x:f>
        <x:v>521.85</x:v>
      </x:c>
      <x:c r="G73" s="379" t="n">
        <x:f>E36*Assumptions!$B$56</x:f>
        <x:v>720.6500000000001</x:v>
      </x:c>
      <x:c r="H73" s="379" t="n">
        <x:f>F36*Assumptions!$B$56</x:f>
        <x:v>1043.7</x:v>
      </x:c>
      <x:c r="I73" s="379" t="n">
        <x:f>G36*Assumptions!$B$56</x:f>
        <x:v>1043.7</x:v>
      </x:c>
      <x:c r="J73" s="379" t="n">
        <x:f>H36*Assumptions!$B$56</x:f>
        <x:v>1043.7</x:v>
      </x:c>
      <x:c r="K73" s="379" t="n">
        <x:f>I36*Assumptions!$B$56</x:f>
        <x:v>13204.66875</x:v>
      </x:c>
      <x:c r="L73" s="379" t="n">
        <x:f>J36*Assumptions!$B$56</x:f>
        <x:v>17258.325</x:v>
      </x:c>
      <x:c r="M73" s="379" t="n">
        <x:f>K36*Assumptions!$B$56</x:f>
        <x:v>17258.325</x:v>
      </x:c>
      <x:c r="N73" s="379" t="n">
        <x:f>L36*Assumptions!$B$56</x:f>
        <x:v>17258.325</x:v>
      </x:c>
      <x:c r="O73" s="379" t="n">
        <x:f>M36*Assumptions!$B$56</x:f>
        <x:v>17258.325</x:v>
      </x:c>
      <x:c r="P73" s="379" t="n">
        <x:f>N36*Assumptions!$B$56</x:f>
        <x:v>57794.887500000004</x:v>
      </x:c>
      <x:c r="Q73" s="379" t="n">
        <x:f>O36*Assumptions!$B$56</x:f>
        <x:v>111843.63750000001</x:v>
      </x:c>
      <x:c r="R73" s="379" t="n">
        <x:f>P36*Assumptions!$B$56</x:f>
        <x:v>165892.3875</x:v>
      </x:c>
      <x:c r="S73" s="379" t="n">
        <x:f>Q36*Assumptions!$B$56</x:f>
        <x:v>260477.7</x:v>
      </x:c>
      <x:c r="T73" s="379" t="n">
        <x:f>R36*Assumptions!$B$56</x:f>
        <x:v>287502.075</x:v>
      </x:c>
      <x:c r="U73" s="379" t="n">
        <x:f>S36*Assumptions!$B$56</x:f>
        <x:v>368575.2</x:v>
      </x:c>
      <x:c r="V73" s="379" t="n">
        <x:f>T36*Assumptions!$B$56</x:f>
        <x:v>395599.575</x:v>
      </x:c>
      <x:c r="W73" s="227"/>
      <x:c r="X73" s="227"/>
      <x:c r="Y73" s="227"/>
      <x:c r="Z73" s="227"/>
    </x:row>
    <x:row r="74">
      <x:c r="A74" s="327" t="str">
        <x:v>Total cash outflows</x:v>
      </x:c>
      <x:c r="B74" s="379" t="n">
        <x:f>B67+B70+B71+B72+B23+B24+B38+B40+B41+B73+B56+B57+B58+B59+B60</x:f>
        <x:v>0</x:v>
      </x:c>
      <x:c r="C74" s="379" t="n">
        <x:f>C67+C70+C71+C72+C23+C24+C38+C40+C41+C73+C56+C57+C58+C59+C60</x:f>
        <x:v>15700</x:v>
      </x:c>
      <x:c r="D74" s="379" t="n">
        <x:f>D67+D70+D71+D72+D23+D24+D38+D40+D41+D73+D56+D57+D58+D59+D60</x:f>
        <x:v>62744.19</x:v>
      </x:c>
      <x:c r="E74" s="379" t="n">
        <x:f>E67+E70+E71+E72+E23+E24+E38+E40+E41+E73+E56+E57+E58+E59+E60</x:f>
        <x:v>94172.81</x:v>
      </x:c>
      <x:c r="F74" s="379" t="n">
        <x:f>F67+F70+F71+F72+F23+F24+F38+F40+F41+F73+F56+F57+F58+F59+F60</x:f>
        <x:v>87022.73000000003</x:v>
      </x:c>
      <x:c r="G74" s="379" t="n">
        <x:f>G67+G70+G71+G72+G23+G24+G38+G40+G41+G73+G56+G57+G58+G59+G60</x:f>
        <x:v>35649.03</x:v>
      </x:c>
      <x:c r="H74" s="379" t="n">
        <x:f>H67+H70+H71+H72+H23+H24+H38+H40+H41+H73+H56+H57+H58+H59+H60</x:f>
        <x:v>99022.08</x:v>
      </x:c>
      <x:c r="I74" s="379" t="n">
        <x:f>I67+I70+I71+I72+I23+I24+I38+I40+I41+I73+I56+I57+I58+I59+I60</x:f>
        <x:v>138078.7966666667</x:v>
      </x:c>
      <x:c r="J74" s="379" t="n">
        <x:f>J67+J70+J71+J72+J23+J24+J38+J40+J41+J73+J56+J57+J58+J59+J60</x:f>
        <x:v>209268.7466666667</x:v>
      </x:c>
      <x:c r="K74" s="379" t="n">
        <x:f>K67+K70+K71+K72+K23+K24+K38+K40+K41+K73+K56+K57+K58+K59+K60</x:f>
        <x:v>482641.54041666666</x:v>
      </x:c>
      <x:c r="L74" s="379" t="n">
        <x:f>L67+L70+L71+L72+L23+L24+L38+L40+L41+L73+L56+L57+L58+L59+L60</x:f>
        <x:v>511932.73833333334</x:v>
      </x:c>
      <x:c r="M74" s="379" t="n">
        <x:f>M67+M70+M71+M72+M23+M24+M38+M40+M41+M73+M56+M57+M58+M59+M60</x:f>
        <x:v>539947.8049999999</x:v>
      </x:c>
      <x:c r="N74" s="379" t="n">
        <x:f>N67+N70+N71+N72+N23+N24+N38+N40+N41+N73+N56+N57+N58+N59+N60</x:f>
        <x:v>1241245.6133333333</x:v>
      </x:c>
      <x:c r="O74" s="379" t="n">
        <x:f>O67+O70+O71+O72+O23+O24+O38+O40+O41+O73+O56+O57+O58+O59+O60</x:f>
        <x:v>989665.1799999999</x:v>
      </x:c>
      <x:c r="P74" s="379" t="n">
        <x:f>P67+P70+P71+P72+P23+P24+P38+P40+P41+P73+P56+P57+P58+P59+P60</x:f>
        <x:v>2128008.6674999995</x:v>
      </x:c>
      <x:c r="Q74" s="379" t="n">
        <x:f>Q67+Q70+Q71+Q72+Q23+Q24+Q38+Q40+Q41+Q73+Q56+Q57+Q58+Q59+Q60</x:f>
        <x:v>2069267.4574395248</x:v>
      </x:c>
      <x:c r="R74" s="379" t="n">
        <x:f>R67+R70+R71+R72+R23+R24+R38+R40+R41+R73+R56+R57+R58+R59+R60</x:f>
        <x:v>2946625.9574395255</x:v>
      </x:c>
      <x:c r="S74" s="379" t="n">
        <x:f>S67+S70+S71+S72+S23+S24+S38+S40+S41+S73+S56+S57+S58+S59+S60</x:f>
        <x:v>2888530.1028844533</x:v>
      </x:c>
      <x:c r="T74" s="379" t="n">
        <x:f>T67+T70+T71+T72+T23+T24+T38+T40+T41+T73+T56+T57+T58+T59+T60</x:f>
        <x:v>3316689.0528844534</x:v>
      </x:c>
      <x:c r="U74" s="379" t="n">
        <x:f>U67+U70+U71+U72+U23+U24+U38+U40+U41+U73+U56+U57+U58+U59+U60</x:f>
        <x:v>3450792.4563328135</x:v>
      </x:c>
      <x:c r="V74" s="379" t="n">
        <x:f>V67+V70+V71+V72+V23+V24+V38+V40+V41+V73+V56+V57+V58+V59+V60</x:f>
        <x:v>2391757.681332813</x:v>
      </x:c>
      <x:c r="W74" s="227"/>
      <x:c r="X74" s="227"/>
      <x:c r="Y74" s="227"/>
      <x:c r="Z74" s="227"/>
    </x:row>
    <x:row r="75">
      <x:c r="A75" s="327" t="str">
        <x:v>Total cash inflows</x:v>
      </x:c>
      <x:c r="B75" s="379" t="n">
        <x:f>B8+B9+B36+B49+B50</x:f>
        <x:v>0</x:v>
      </x:c>
      <x:c r="C75" s="379" t="n">
        <x:f>C8+C9+C36+C49+C50</x:f>
        <x:v>230000</x:v>
      </x:c>
      <x:c r="D75" s="379" t="n">
        <x:f>D8+D9+D36+D49+D50</x:f>
        <x:v>7455</x:v>
      </x:c>
      <x:c r="E75" s="379" t="n">
        <x:f>E8+E9+E36+E49+E50</x:f>
        <x:v>10295</x:v>
      </x:c>
      <x:c r="F75" s="379" t="n">
        <x:f>F8+F9+F36+F49+F50</x:f>
        <x:v>114910</x:v>
      </x:c>
      <x:c r="G75" s="379" t="n">
        <x:f>G8+G9+G36+G49+G50</x:f>
        <x:v>14910</x:v>
      </x:c>
      <x:c r="H75" s="379" t="n">
        <x:f>H8+H9+H36+H49+H50</x:f>
        <x:v>114910</x:v>
      </x:c>
      <x:c r="I75" s="379" t="n">
        <x:f>I8+I9+I36+I49+I50</x:f>
        <x:v>4288638.125</x:v>
      </x:c>
      <x:c r="J75" s="379" t="n">
        <x:f>J8+J9+J36+J49+J50</x:f>
        <x:v>246547.5</x:v>
      </x:c>
      <x:c r="K75" s="379" t="n">
        <x:f>K8+K9+K36+K49+K50</x:f>
        <x:v>346547.5</x:v>
      </x:c>
      <x:c r="L75" s="379" t="n">
        <x:f>L8+L9+L36+L49+L50</x:f>
        <x:v>346547.5</x:v>
      </x:c>
      <x:c r="M75" s="379" t="n">
        <x:f>M8+M9+M36+M49+M50</x:f>
        <x:v>246547.5</x:v>
      </x:c>
      <x:c r="N75" s="379" t="n">
        <x:f>N8+N9+N36+N49+N50</x:f>
        <x:v>925641.25</x:v>
      </x:c>
      <x:c r="O75" s="379" t="n">
        <x:f>O8+O9+O36+O49+O50</x:f>
        <x:v>1697766.25</x:v>
      </x:c>
      <x:c r="P75" s="379" t="n">
        <x:f>P8+P9+P36+P49+P50</x:f>
        <x:v>2369891.25</x:v>
      </x:c>
      <x:c r="Q75" s="379" t="n">
        <x:f>Q8+Q9+Q36+Q49+Q50</x:f>
        <x:v>3821110</x:v>
      </x:c>
      <x:c r="R75" s="379" t="n">
        <x:f>R8+R9+R36+R49+R50</x:f>
        <x:v>4207172.5</x:v>
      </x:c>
      <x:c r="S75" s="379" t="n">
        <x:f>S8+S9+S36+S49+S50</x:f>
        <x:v>5265360</x:v>
      </x:c>
      <x:c r="T75" s="379" t="n">
        <x:f>T8+T9+T36+T49+T50</x:f>
        <x:v>5751422.5</x:v>
      </x:c>
      <x:c r="U75" s="379" t="n">
        <x:f>U8+U9+U36+U49+U50</x:f>
        <x:v>7488703.75</x:v>
      </x:c>
      <x:c r="V75" s="379" t="n">
        <x:f>V8+V9+V36+V49+V50</x:f>
        <x:v>7967797.5</x:v>
      </x:c>
      <x:c r="W75" s="227"/>
      <x:c r="X75" s="227"/>
      <x:c r="Y75" s="227"/>
      <x:c r="Z75" s="227"/>
    </x:row>
    <x:row r="76">
      <x:c r="A76" s="337" t="str">
        <x:v>Net cash flow</x:v>
      </x:c>
      <x:c r="B76" s="387" t="n">
        <x:f>B75-B74</x:f>
        <x:v>0</x:v>
      </x:c>
      <x:c r="C76" s="387" t="n">
        <x:f>C75-C74</x:f>
        <x:v>214300</x:v>
      </x:c>
      <x:c r="D76" s="387" t="n">
        <x:f>D75-D74</x:f>
        <x:v>-55289.19</x:v>
      </x:c>
      <x:c r="E76" s="387" t="n">
        <x:f>E75-E74</x:f>
        <x:v>-83877.81</x:v>
      </x:c>
      <x:c r="F76" s="387" t="n">
        <x:f>F75-F74</x:f>
        <x:v>27887.269999999975</x:v>
      </x:c>
      <x:c r="G76" s="387" t="n">
        <x:f>G75-G74</x:f>
        <x:v>-20739.03</x:v>
      </x:c>
      <x:c r="H76" s="387" t="n">
        <x:f>H75-H74</x:f>
        <x:v>15887.919999999998</x:v>
      </x:c>
      <x:c r="I76" s="387" t="n">
        <x:f>I75-I74</x:f>
        <x:v>4150559.328333333</x:v>
      </x:c>
      <x:c r="J76" s="387" t="n">
        <x:f>J75-J74</x:f>
        <x:v>37278.7533333333</x:v>
      </x:c>
      <x:c r="K76" s="387" t="n">
        <x:f>K75-K74</x:f>
        <x:v>-136094.04041666666</x:v>
      </x:c>
      <x:c r="L76" s="387" t="n">
        <x:f>L75-L74</x:f>
        <x:v>-165385.23833333334</x:v>
      </x:c>
      <x:c r="M76" s="387" t="n">
        <x:f>M75-M74</x:f>
        <x:v>-293400.30499999993</x:v>
      </x:c>
      <x:c r="N76" s="387" t="n">
        <x:f>N75-N74</x:f>
        <x:v>-315604.3633333333</x:v>
      </x:c>
      <x:c r="O76" s="387" t="n">
        <x:f>O75-O74</x:f>
        <x:v>708101.0700000001</x:v>
      </x:c>
      <x:c r="P76" s="387" t="n">
        <x:f>P75-P74</x:f>
        <x:v>241882.58250000048</x:v>
      </x:c>
      <x:c r="Q76" s="387" t="n">
        <x:f>Q75-Q74</x:f>
        <x:v>1751842.5425604752</x:v>
      </x:c>
      <x:c r="R76" s="387" t="n">
        <x:f>R75-R74</x:f>
        <x:v>1260546.5425604745</x:v>
      </x:c>
      <x:c r="S76" s="387" t="n">
        <x:f>S75-S74</x:f>
        <x:v>2376829.8971155467</x:v>
      </x:c>
      <x:c r="T76" s="387" t="n">
        <x:f>T75-T74</x:f>
        <x:v>2434733.4471155466</x:v>
      </x:c>
      <x:c r="U76" s="387" t="n">
        <x:f>U75-U74</x:f>
        <x:v>4037911.2936671865</x:v>
      </x:c>
      <x:c r="V76" s="387" t="n">
        <x:f>V75-V74</x:f>
        <x:v>5576039.818667186</x:v>
      </x:c>
      <x:c r="W76" s="227"/>
      <x:c r="X76" s="227"/>
      <x:c r="Y76" s="227"/>
      <x:c r="Z76" s="227"/>
    </x:row>
    <x:row r="77">
      <x:c r="A77" s="327" t="str">
        <x:v>Opening cash</x:v>
      </x:c>
      <x:c r="B77" s="379" t="n">
        <x:f>0</x:f>
        <x:v>0</x:v>
      </x:c>
      <x:c r="C77" s="379" t="n">
        <x:f>B78</x:f>
        <x:v>0</x:v>
      </x:c>
      <x:c r="D77" s="379" t="n">
        <x:f>C78</x:f>
        <x:v>214300</x:v>
      </x:c>
      <x:c r="E77" s="379" t="n">
        <x:f>D78</x:f>
        <x:v>159010.81</x:v>
      </x:c>
      <x:c r="F77" s="379" t="n">
        <x:f>E78</x:f>
        <x:v>75133</x:v>
      </x:c>
      <x:c r="G77" s="379" t="n">
        <x:f>F78</x:f>
        <x:v>103020.26999999997</x:v>
      </x:c>
      <x:c r="H77" s="379" t="n">
        <x:f>G78</x:f>
        <x:v>82281.23999999998</x:v>
      </x:c>
      <x:c r="I77" s="379" t="n">
        <x:f>H78</x:f>
        <x:v>98169.15999999997</x:v>
      </x:c>
      <x:c r="J77" s="379" t="n">
        <x:f>I78</x:f>
        <x:v>4248728.488333333</x:v>
      </x:c>
      <x:c r="K77" s="379" t="n">
        <x:f>J78</x:f>
        <x:v>4286007.241666666</x:v>
      </x:c>
      <x:c r="L77" s="379" t="n">
        <x:f>K78</x:f>
        <x:v>4149913.2012499995</x:v>
      </x:c>
      <x:c r="M77" s="379" t="n">
        <x:f>L78</x:f>
        <x:v>3984527.962916666</x:v>
      </x:c>
      <x:c r="N77" s="379" t="n">
        <x:f>M78</x:f>
        <x:v>3691127.657916666</x:v>
      </x:c>
      <x:c r="O77" s="379" t="n">
        <x:f>N78</x:f>
        <x:v>3375523.2945833327</x:v>
      </x:c>
      <x:c r="P77" s="379" t="n">
        <x:f>O78</x:f>
        <x:v>4083624.364583333</x:v>
      </x:c>
      <x:c r="Q77" s="379" t="n">
        <x:f>P78</x:f>
        <x:v>4325506.9470833335</x:v>
      </x:c>
      <x:c r="R77" s="379" t="n">
        <x:f>Q78</x:f>
        <x:v>6077349.489643808</x:v>
      </x:c>
      <x:c r="S77" s="379" t="n">
        <x:f>R78</x:f>
        <x:v>7337896.032204283</x:v>
      </x:c>
      <x:c r="T77" s="379" t="n">
        <x:f>S78</x:f>
        <x:v>9714725.92931983</x:v>
      </x:c>
      <x:c r="U77" s="379" t="n">
        <x:f>T78</x:f>
        <x:v>12149459.376435377</x:v>
      </x:c>
      <x:c r="V77" s="379" t="n">
        <x:f>U78</x:f>
        <x:v>16187370.670102563</x:v>
      </x:c>
      <x:c r="W77" s="227"/>
      <x:c r="X77" s="227"/>
      <x:c r="Y77" s="227"/>
      <x:c r="Z77" s="227"/>
    </x:row>
    <x:row r="78">
      <x:c r="A78" s="339" t="str">
        <x:v>Closing cash</x:v>
      </x:c>
      <x:c r="B78" s="388" t="n">
        <x:f>B77+B76</x:f>
        <x:v>0</x:v>
      </x:c>
      <x:c r="C78" s="388" t="n">
        <x:f>C77+C76</x:f>
        <x:v>214300</x:v>
      </x:c>
      <x:c r="D78" s="388" t="n">
        <x:f>D77+D76</x:f>
        <x:v>159010.81</x:v>
      </x:c>
      <x:c r="E78" s="388" t="n">
        <x:f>E77+E76</x:f>
        <x:v>75133</x:v>
      </x:c>
      <x:c r="F78" s="388" t="n">
        <x:f>F77+F76</x:f>
        <x:v>103020.26999999997</x:v>
      </x:c>
      <x:c r="G78" s="388" t="n">
        <x:f>G77+G76</x:f>
        <x:v>82281.23999999998</x:v>
      </x:c>
      <x:c r="H78" s="388" t="n">
        <x:f>H77+H76</x:f>
        <x:v>98169.15999999997</x:v>
      </x:c>
      <x:c r="I78" s="388" t="n">
        <x:f>I77+I76</x:f>
        <x:v>4248728.488333333</x:v>
      </x:c>
      <x:c r="J78" s="388" t="n">
        <x:f>J77+J76</x:f>
        <x:v>4286007.241666666</x:v>
      </x:c>
      <x:c r="K78" s="388" t="n">
        <x:f>K77+K76</x:f>
        <x:v>4149913.2012499995</x:v>
      </x:c>
      <x:c r="L78" s="388" t="n">
        <x:f>L77+L76</x:f>
        <x:v>3984527.962916666</x:v>
      </x:c>
      <x:c r="M78" s="388" t="n">
        <x:f>M77+M76</x:f>
        <x:v>3691127.657916666</x:v>
      </x:c>
      <x:c r="N78" s="388" t="n">
        <x:f>N77+N76</x:f>
        <x:v>3375523.2945833327</x:v>
      </x:c>
      <x:c r="O78" s="388" t="n">
        <x:f>O77+O76</x:f>
        <x:v>4083624.364583333</x:v>
      </x:c>
      <x:c r="P78" s="388" t="n">
        <x:f>P77+P76</x:f>
        <x:v>4325506.9470833335</x:v>
      </x:c>
      <x:c r="Q78" s="388" t="n">
        <x:f>Q77+Q76</x:f>
        <x:v>6077349.489643808</x:v>
      </x:c>
      <x:c r="R78" s="388" t="n">
        <x:f>R77+R76</x:f>
        <x:v>7337896.032204283</x:v>
      </x:c>
      <x:c r="S78" s="388" t="n">
        <x:f>S77+S76</x:f>
        <x:v>9714725.92931983</x:v>
      </x:c>
      <x:c r="T78" s="388" t="n">
        <x:f>T77+T76</x:f>
        <x:v>12149459.376435377</x:v>
      </x:c>
      <x:c r="U78" s="388" t="n">
        <x:f>U77+U76</x:f>
        <x:v>16187370.670102563</x:v>
      </x:c>
      <x:c r="V78" s="388" t="n">
        <x:f>V77+V76</x:f>
        <x:v>21763410.488769747</x:v>
      </x:c>
      <x:c r="W78" s="227"/>
      <x:c r="X78" s="227"/>
      <x:c r="Y78" s="227"/>
      <x:c r="Z78" s="227"/>
    </x:row>
    <x:row r="79">
      <x:c r="A79" s="327" t="str">
        <x:v>Cumulative EBITDA</x:v>
      </x:c>
      <x:c r="B79" s="379" t="n">
        <x:f>B68</x:f>
        <x:v>0</x:v>
      </x:c>
      <x:c r="C79" s="379" t="n">
        <x:f>B79+C68</x:f>
        <x:v>-15700</x:v>
      </x:c>
      <x:c r="D79" s="379" t="n">
        <x:f>C79+D68</x:f>
        <x:v>-26164.7</x:v>
      </x:c>
      <x:c r="E79" s="379" t="n">
        <x:f>D79+E68</x:f>
        <x:v>-34635</x:v>
      </x:c>
      <x:c r="F79" s="379" t="n">
        <x:f>E79+F68</x:f>
        <x:v>-39864.4</x:v>
      </x:c>
      <x:c r="G79" s="379" t="n">
        <x:f>F79+G68</x:f>
        <x:v>-45093.8</x:v>
      </x:c>
      <x:c r="H79" s="379" t="n">
        <x:f>G79+H68</x:f>
        <x:v>27076.800000000003</x:v>
      </x:c>
      <x:c r="I79" s="379" t="n">
        <x:f>H79+I68</x:f>
        <x:v>117789.36875000001</x:v>
      </x:c>
      <x:c r="J79" s="379" t="n">
        <x:f>I79+J68</x:f>
        <x:v>240482.59375</x:v>
      </x:c>
      <x:c r="K79" s="379" t="n">
        <x:f>J79+K68</x:f>
        <x:v>440575.81875</x:v>
      </x:c>
      <x:c r="L79" s="379" t="n">
        <x:f>K79+L68</x:f>
        <x:v>563269.04375</x:v>
      </x:c>
      <x:c r="M79" s="379" t="n">
        <x:f>L79+M68</x:f>
        <x:v>685962.2687499999</x:v>
      </x:c>
      <x:c r="N79" s="379" t="n">
        <x:f>M79+N68</x:f>
        <x:v>1161562.05625</x:v>
      </x:c>
      <x:c r="O79" s="379" t="n">
        <x:f>N79+O68</x:f>
        <x:v>1936170.59375</x:v>
      </x:c>
      <x:c r="P79" s="379" t="n">
        <x:f>O79+P68</x:f>
        <x:v>3067187.88125</x:v>
      </x:c>
      <x:c r="Q79" s="379" t="n">
        <x:f>P79+Q68</x:f>
        <x:v>4899353.241310475</x:v>
      </x:c>
      <x:c r="R79" s="379" t="n">
        <x:f>Q79+R68</x:f>
        <x:v>6867322.97637095</x:v>
      </x:c>
      <x:c r="S79" s="379" t="n">
        <x:f>R79+S68</x:f>
        <x:v>9387597.653486498</x:v>
      </x:c>
      <x:c r="T79" s="379" t="n">
        <x:f>S79+T68</x:f>
        <x:v>12198476.705602044</x:v>
      </x:c>
      <x:c r="U79" s="379" t="n">
        <x:f>T79+U68</x:f>
        <x:v>15766318.741769232</x:v>
      </x:c>
      <x:c r="V79" s="379" t="n">
        <x:f>U79+V68</x:f>
        <x:v>19653967.340436418</x:v>
      </x:c>
      <x:c r="W79" s="227"/>
      <x:c r="X79" s="227"/>
      <x:c r="Y79" s="227"/>
      <x:c r="Z79" s="227"/>
    </x:row>
    <x:row r="80">
      <x:c r="A80" s="327" t="str">
        <x:v>Cumulative club contribution</x:v>
      </x:c>
      <x:c r="B80" s="379" t="n">
        <x:f>B55</x:f>
        <x:v>0</x:v>
      </x:c>
      <x:c r="C80" s="379" t="n">
        <x:f>B80+C55</x:f>
        <x:v>0</x:v>
      </x:c>
      <x:c r="D80" s="379" t="n">
        <x:f>C80+D55</x:f>
        <x:v>0</x:v>
      </x:c>
      <x:c r="E80" s="379" t="n">
        <x:f>D80+E55</x:f>
        <x:v>0</x:v>
      </x:c>
      <x:c r="F80" s="379" t="n">
        <x:f>E80+F55</x:f>
        <x:v>0</x:v>
      </x:c>
      <x:c r="G80" s="379" t="n">
        <x:f>F80+G55</x:f>
        <x:v>0</x:v>
      </x:c>
      <x:c r="H80" s="379" t="n">
        <x:f>G80+H55</x:f>
        <x:v>77400</x:v>
      </x:c>
      <x:c r="I80" s="379" t="n">
        <x:f>H80+I55</x:f>
        <x:v>77400</x:v>
      </x:c>
      <x:c r="J80" s="379" t="n">
        <x:f>I80+J55</x:f>
        <x:v>77400</x:v>
      </x:c>
      <x:c r="K80" s="379" t="n">
        <x:f>J80+K55</x:f>
        <x:v>154800</x:v>
      </x:c>
      <x:c r="L80" s="379" t="n">
        <x:f>K80+L55</x:f>
        <x:v>154800</x:v>
      </x:c>
      <x:c r="M80" s="379" t="n">
        <x:f>L80+M55</x:f>
        <x:v>154800</x:v>
      </x:c>
      <x:c r="N80" s="379" t="n">
        <x:f>M80+N55</x:f>
        <x:v>232200</x:v>
      </x:c>
      <x:c r="O80" s="379" t="n">
        <x:f>N80+O55</x:f>
        <x:v>232200</x:v>
      </x:c>
      <x:c r="P80" s="379" t="n">
        <x:f>O80+P55</x:f>
        <x:v>232200</x:v>
      </x:c>
      <x:c r="Q80" s="379" t="n">
        <x:f>P80+Q55</x:f>
        <x:v>309600</x:v>
      </x:c>
      <x:c r="R80" s="379" t="n">
        <x:f>Q80+R55</x:f>
        <x:v>309600</x:v>
      </x:c>
      <x:c r="S80" s="379" t="n">
        <x:f>R80+S55</x:f>
        <x:v>309600</x:v>
      </x:c>
      <x:c r="T80" s="379" t="n">
        <x:f>S80+T55</x:f>
        <x:v>387000</x:v>
      </x:c>
      <x:c r="U80" s="379" t="n">
        <x:f>T80+U55</x:f>
        <x:v>387000</x:v>
      </x:c>
      <x:c r="V80" s="379" t="n">
        <x:f>U80+V55</x:f>
        <x:v>387000</x:v>
      </x:c>
      <x:c r="W80" s="227"/>
      <x:c r="X80" s="227"/>
      <x:c r="Y80" s="227"/>
      <x:c r="Z80" s="227"/>
    </x:row>
    <x:row r="81">
      <x:c r="A81" s="327" t="str">
        <x:v>Required cash reserve</x:v>
      </x:c>
      <x:c r="B81" s="379" t="n">
        <x:f>B67*Assumptions!$B$18</x:f>
        <x:v>0</x:v>
      </x:c>
      <x:c r="C81" s="379" t="n">
        <x:f>C67*Assumptions!$B$18</x:f>
        <x:v>47100</x:v>
      </x:c>
      <x:c r="D81" s="379" t="n">
        <x:f>D67*Assumptions!$B$18</x:f>
        <x:v>47100</x:v>
      </x:c>
      <x:c r="E81" s="379" t="n">
        <x:f>E67*Assumptions!$B$18</x:f>
        <x:v>47100</x:v>
      </x:c>
      <x:c r="F81" s="379" t="n">
        <x:f>F67*Assumptions!$B$18</x:f>
        <x:v>47100</x:v>
      </x:c>
      <x:c r="G81" s="379" t="n">
        <x:f>G67*Assumptions!$B$18</x:f>
        <x:v>47100</x:v>
      </x:c>
      <x:c r="H81" s="379" t="n">
        <x:f>H67*Assumptions!$B$18</x:f>
        <x:v>47100</x:v>
      </x:c>
      <x:c r="I81" s="379" t="n">
        <x:f>I67*Assumptions!$B$18</x:f>
        <x:v>47100</x:v>
      </x:c>
      <x:c r="J81" s="379" t="n">
        <x:f>J67*Assumptions!$B$18</x:f>
        <x:v>47100</x:v>
      </x:c>
      <x:c r="K81" s="379" t="n">
        <x:f>K67*Assumptions!$B$18</x:f>
        <x:v>47100</x:v>
      </x:c>
      <x:c r="L81" s="379" t="n">
        <x:f>L67*Assumptions!$B$18</x:f>
        <x:v>47100</x:v>
      </x:c>
      <x:c r="M81" s="379" t="n">
        <x:f>M67*Assumptions!$B$18</x:f>
        <x:v>47100</x:v>
      </x:c>
      <x:c r="N81" s="379" t="n">
        <x:f>N67*Assumptions!$B$18</x:f>
        <x:v>180000</x:v>
      </x:c>
      <x:c r="O81" s="379" t="n">
        <x:f>O67*Assumptions!$B$18</x:f>
        <x:v>330000</x:v>
      </x:c>
      <x:c r="P81" s="379" t="n">
        <x:f>P67*Assumptions!$B$18</x:f>
        <x:v>540000</x:v>
      </x:c>
      <x:c r="Q81" s="379" t="n">
        <x:f>Q67*Assumptions!$B$18</x:f>
        <x:v>907401.7198185753</x:v>
      </x:c>
      <x:c r="R81" s="379" t="n">
        <x:f>R67*Assumptions!$B$18</x:f>
        <x:v>907401.7198185753</x:v>
      </x:c>
      <x:c r="S81" s="379" t="n">
        <x:f>S67*Assumptions!$B$18</x:f>
        <x:v>1169326.26865336</x:v>
      </x:c>
      <x:c r="T81" s="379" t="n">
        <x:f>T67*Assumptions!$B$18</x:f>
        <x:v>1169326.26865336</x:v>
      </x:c>
      <x:c r="U81" s="379" t="n">
        <x:f>U67*Assumptions!$B$18</x:f>
        <x:v>1544496.3789984398</x:v>
      </x:c>
      <x:c r="V81" s="379" t="n">
        <x:f>V67*Assumptions!$B$18</x:f>
        <x:v>1544496.3789984398</x:v>
      </x:c>
      <x:c r="W81" s="227"/>
      <x:c r="X81" s="227"/>
      <x:c r="Y81" s="227"/>
      <x:c r="Z81" s="227"/>
    </x:row>
    <x:row r="82">
      <x:c r="A82" s="327" t="str">
        <x:v>Cash above reserve</x:v>
      </x:c>
      <x:c r="B82" s="379" t="n">
        <x:f>MAX(0,B78-B81)</x:f>
        <x:v>0</x:v>
      </x:c>
      <x:c r="C82" s="379" t="n">
        <x:f>MAX(0,C78-C81)</x:f>
        <x:v>167200</x:v>
      </x:c>
      <x:c r="D82" s="379" t="n">
        <x:f>MAX(0,D78-D81)</x:f>
        <x:v>111910.81</x:v>
      </x:c>
      <x:c r="E82" s="379" t="n">
        <x:f>MAX(0,E78-E81)</x:f>
        <x:v>28033</x:v>
      </x:c>
      <x:c r="F82" s="379" t="n">
        <x:f>MAX(0,F78-F81)</x:f>
        <x:v>55920.269999999975</x:v>
      </x:c>
      <x:c r="G82" s="379" t="n">
        <x:f>MAX(0,G78-G81)</x:f>
        <x:v>35181.239999999976</x:v>
      </x:c>
      <x:c r="H82" s="379" t="n">
        <x:f>MAX(0,H78-H81)</x:f>
        <x:v>51069.159999999974</x:v>
      </x:c>
      <x:c r="I82" s="379" t="n">
        <x:f>MAX(0,I78-I81)</x:f>
        <x:v>4201628.488333333</x:v>
      </x:c>
      <x:c r="J82" s="379" t="n">
        <x:f>MAX(0,J78-J81)</x:f>
        <x:v>4238907.241666666</x:v>
      </x:c>
      <x:c r="K82" s="379" t="n">
        <x:f>MAX(0,K78-K81)</x:f>
        <x:v>4102813.2012499995</x:v>
      </x:c>
      <x:c r="L82" s="379" t="n">
        <x:f>MAX(0,L78-L81)</x:f>
        <x:v>3937427.962916666</x:v>
      </x:c>
      <x:c r="M82" s="379" t="n">
        <x:f>MAX(0,M78-M81)</x:f>
        <x:v>3644027.657916666</x:v>
      </x:c>
      <x:c r="N82" s="379" t="n">
        <x:f>MAX(0,N78-N81)</x:f>
        <x:v>3195523.2945833327</x:v>
      </x:c>
      <x:c r="O82" s="379" t="n">
        <x:f>MAX(0,O78-O81)</x:f>
        <x:v>3753624.364583333</x:v>
      </x:c>
      <x:c r="P82" s="379" t="n">
        <x:f>MAX(0,P78-P81)</x:f>
        <x:v>3785506.9470833335</x:v>
      </x:c>
      <x:c r="Q82" s="379" t="n">
        <x:f>MAX(0,Q78-Q81)</x:f>
        <x:v>5169947.769825233</x:v>
      </x:c>
      <x:c r="R82" s="379" t="n">
        <x:f>MAX(0,R78-R81)</x:f>
        <x:v>6430494.312385708</x:v>
      </x:c>
      <x:c r="S82" s="379" t="n">
        <x:f>MAX(0,S78-S81)</x:f>
        <x:v>8545399.660666471</x:v>
      </x:c>
      <x:c r="T82" s="379" t="n">
        <x:f>MAX(0,T78-T81)</x:f>
        <x:v>10980133.107782017</x:v>
      </x:c>
      <x:c r="U82" s="379" t="n">
        <x:f>MAX(0,U78-U81)</x:f>
        <x:v>14642874.291104123</x:v>
      </x:c>
      <x:c r="V82" s="379" t="n">
        <x:f>MAX(0,V78-V81)</x:f>
        <x:v>20218914.109771308</x:v>
      </x:c>
      <x:c r="W82" s="227"/>
      <x:c r="X82" s="227"/>
      <x:c r="Y82" s="227"/>
      <x:c r="Z82" s="227"/>
    </x:row>
    <x:row r="83">
      <x:c r="A83" s="342" t="str">
        <x:v>Indicative reinvestment capacity</x:v>
      </x:c>
      <x:c r="B83" s="390" t="n">
        <x:f>B82*Assumptions!$B$16</x:f>
        <x:v>0</x:v>
      </x:c>
      <x:c r="C83" s="390" t="n">
        <x:f>C82*Assumptions!$B$16</x:f>
        <x:v>117039.99999999999</x:v>
      </x:c>
      <x:c r="D83" s="390" t="n">
        <x:f>D82*Assumptions!$B$16</x:f>
        <x:v>78337.567</x:v>
      </x:c>
      <x:c r="E83" s="390" t="n">
        <x:f>E82*Assumptions!$B$16</x:f>
        <x:v>19623.1</x:v>
      </x:c>
      <x:c r="F83" s="390" t="n">
        <x:f>F82*Assumptions!$B$16</x:f>
        <x:v>39144.18899999998</x:v>
      </x:c>
      <x:c r="G83" s="390" t="n">
        <x:f>G82*Assumptions!$B$16</x:f>
        <x:v>24626.86799999998</x:v>
      </x:c>
      <x:c r="H83" s="390" t="n">
        <x:f>H82*Assumptions!$B$16</x:f>
        <x:v>35748.41199999998</x:v>
      </x:c>
      <x:c r="I83" s="390" t="n">
        <x:f>I82*Assumptions!$B$16</x:f>
        <x:v>2941139.941833333</x:v>
      </x:c>
      <x:c r="J83" s="390" t="n">
        <x:f>J82*Assumptions!$B$16</x:f>
        <x:v>2967235.0691666664</x:v>
      </x:c>
      <x:c r="K83" s="390" t="n">
        <x:f>K82*Assumptions!$B$16</x:f>
        <x:v>2871969.2408749997</x:v>
      </x:c>
      <x:c r="L83" s="390" t="n">
        <x:f>L82*Assumptions!$B$16</x:f>
        <x:v>2756199.574041666</x:v>
      </x:c>
      <x:c r="M83" s="390" t="n">
        <x:f>M82*Assumptions!$B$16</x:f>
        <x:v>2550819.360541666</x:v>
      </x:c>
      <x:c r="N83" s="390" t="n">
        <x:f>N82*Assumptions!$B$16</x:f>
        <x:v>2236866.3062083325</x:v>
      </x:c>
      <x:c r="O83" s="390" t="n">
        <x:f>O82*Assumptions!$B$16</x:f>
        <x:v>2627537.055208333</x:v>
      </x:c>
      <x:c r="P83" s="390" t="n">
        <x:f>P82*Assumptions!$B$16</x:f>
        <x:v>2649854.8629583335</x:v>
      </x:c>
      <x:c r="Q83" s="390" t="n">
        <x:f>Q82*Assumptions!$B$16</x:f>
        <x:v>3618963.438877663</x:v>
      </x:c>
      <x:c r="R83" s="390" t="n">
        <x:f>R82*Assumptions!$B$16</x:f>
        <x:v>4501346.0186699955</x:v>
      </x:c>
      <x:c r="S83" s="390" t="n">
        <x:f>S82*Assumptions!$B$16</x:f>
        <x:v>5981779.762466529</x:v>
      </x:c>
      <x:c r="T83" s="390" t="n">
        <x:f>T82*Assumptions!$B$16</x:f>
        <x:v>7686093.175447412</x:v>
      </x:c>
      <x:c r="U83" s="390" t="n">
        <x:f>U82*Assumptions!$B$16</x:f>
        <x:v>10250012.003772885</x:v>
      </x:c>
      <x:c r="V83" s="390" t="n">
        <x:f>V82*Assumptions!$B$16</x:f>
        <x:v>14153239.876839915</x:v>
      </x:c>
      <x:c r="W83" s="227"/>
      <x:c r="X83" s="227"/>
      <x:c r="Y83" s="227"/>
      <x:c r="Z83" s="227"/>
    </x:row>
    <x:row r="84">
      <x:c r="A84" s="227"/>
      <x:c r="B84" s="227"/>
      <x:c r="C84" s="227"/>
      <x:c r="D84" s="227"/>
      <x:c r="E84" s="227"/>
      <x:c r="F84" s="227"/>
      <x:c r="G84" s="227"/>
      <x:c r="H84" s="227"/>
      <x:c r="I84" s="227"/>
      <x:c r="J84" s="227"/>
      <x:c r="K84" s="227"/>
      <x:c r="L84" s="227"/>
      <x:c r="M84" s="227"/>
      <x:c r="N84" s="227"/>
      <x:c r="O84" s="227"/>
      <x:c r="P84" s="227"/>
      <x:c r="Q84" s="227"/>
      <x:c r="R84" s="227"/>
      <x:c r="S84" s="227"/>
      <x:c r="T84" s="227"/>
      <x:c r="U84" s="227"/>
      <x:c r="V84" s="227"/>
      <x:c r="W84" s="227"/>
      <x:c r="X84" s="227"/>
      <x:c r="Y84" s="227"/>
      <x:c r="Z84" s="227"/>
    </x:row>
    <x:row r="85">
      <x:c r="A85" s="227"/>
      <x:c r="B85" s="227"/>
      <x:c r="C85" s="227"/>
      <x:c r="D85" s="227"/>
      <x:c r="E85" s="227"/>
      <x:c r="F85" s="227"/>
      <x:c r="G85" s="227"/>
      <x:c r="H85" s="227"/>
      <x:c r="I85" s="227"/>
      <x:c r="J85" s="227"/>
      <x:c r="K85" s="227"/>
      <x:c r="L85" s="227"/>
      <x:c r="M85" s="227"/>
      <x:c r="N85" s="227"/>
      <x:c r="O85" s="227"/>
      <x:c r="P85" s="227"/>
      <x:c r="Q85" s="227"/>
      <x:c r="R85" s="227"/>
      <x:c r="S85" s="227"/>
      <x:c r="T85" s="227"/>
      <x:c r="U85" s="227"/>
      <x:c r="V85" s="227"/>
      <x:c r="W85" s="227"/>
      <x:c r="X85" s="227"/>
      <x:c r="Y85" s="227"/>
      <x:c r="Z85" s="227"/>
    </x:row>
    <x:row r="86">
      <x:c r="A86" s="227"/>
      <x:c r="B86" s="227"/>
      <x:c r="C86" s="227"/>
      <x:c r="D86" s="227"/>
      <x:c r="E86" s="227"/>
      <x:c r="F86" s="227"/>
      <x:c r="G86" s="227"/>
      <x:c r="H86" s="227"/>
      <x:c r="I86" s="227"/>
      <x:c r="J86" s="227"/>
      <x:c r="K86" s="227"/>
      <x:c r="L86" s="227"/>
      <x:c r="M86" s="227"/>
      <x:c r="N86" s="227"/>
      <x:c r="O86" s="227"/>
      <x:c r="P86" s="227"/>
      <x:c r="Q86" s="227"/>
      <x:c r="R86" s="227"/>
      <x:c r="S86" s="227"/>
      <x:c r="T86" s="227"/>
      <x:c r="U86" s="227"/>
      <x:c r="V86" s="227"/>
      <x:c r="W86" s="227"/>
      <x:c r="X86" s="227"/>
      <x:c r="Y86" s="227"/>
      <x:c r="Z86" s="227"/>
    </x:row>
    <x:row r="87">
      <x:c r="A87" s="227"/>
      <x:c r="B87" s="227"/>
      <x:c r="C87" s="227"/>
      <x:c r="D87" s="227"/>
      <x:c r="E87" s="227"/>
      <x:c r="F87" s="227"/>
      <x:c r="G87" s="227"/>
      <x:c r="H87" s="227"/>
      <x:c r="I87" s="227"/>
      <x:c r="J87" s="227"/>
      <x:c r="K87" s="227"/>
      <x:c r="L87" s="227"/>
      <x:c r="M87" s="227"/>
      <x:c r="N87" s="227"/>
      <x:c r="O87" s="227"/>
      <x:c r="P87" s="227"/>
      <x:c r="Q87" s="227"/>
      <x:c r="R87" s="227"/>
      <x:c r="S87" s="227"/>
      <x:c r="T87" s="227"/>
      <x:c r="U87" s="227"/>
      <x:c r="V87" s="227"/>
      <x:c r="W87" s="227"/>
      <x:c r="X87" s="227"/>
      <x:c r="Y87" s="227"/>
      <x:c r="Z87" s="227"/>
    </x:row>
    <x:row r="88">
      <x:c r="A88" s="227"/>
      <x:c r="B88" s="227"/>
      <x:c r="C88" s="227"/>
      <x:c r="D88" s="227"/>
      <x:c r="E88" s="227"/>
      <x:c r="F88" s="227"/>
      <x:c r="G88" s="227"/>
      <x:c r="H88" s="227"/>
      <x:c r="I88" s="227"/>
      <x:c r="J88" s="227"/>
      <x:c r="K88" s="227"/>
      <x:c r="L88" s="227"/>
      <x:c r="M88" s="227"/>
      <x:c r="N88" s="227"/>
      <x:c r="O88" s="227"/>
      <x:c r="P88" s="227"/>
      <x:c r="Q88" s="227"/>
      <x:c r="R88" s="227"/>
      <x:c r="S88" s="227"/>
      <x:c r="T88" s="227"/>
      <x:c r="U88" s="227"/>
      <x:c r="V88" s="227"/>
      <x:c r="W88" s="227"/>
      <x:c r="X88" s="227"/>
      <x:c r="Y88" s="227"/>
      <x:c r="Z88" s="227"/>
    </x:row>
    <x:row r="89">
      <x:c r="A89" s="227"/>
      <x:c r="B89" s="227"/>
      <x:c r="C89" s="227"/>
      <x:c r="D89" s="227"/>
      <x:c r="E89" s="227"/>
      <x:c r="F89" s="227"/>
      <x:c r="G89" s="227"/>
      <x:c r="H89" s="227"/>
      <x:c r="I89" s="227"/>
      <x:c r="J89" s="227"/>
      <x:c r="K89" s="227"/>
      <x:c r="L89" s="227"/>
      <x:c r="M89" s="227"/>
      <x:c r="N89" s="227"/>
      <x:c r="O89" s="227"/>
      <x:c r="P89" s="227"/>
      <x:c r="Q89" s="227"/>
      <x:c r="R89" s="227"/>
      <x:c r="S89" s="227"/>
      <x:c r="T89" s="227"/>
      <x:c r="U89" s="227"/>
      <x:c r="V89" s="227"/>
      <x:c r="W89" s="227"/>
      <x:c r="X89" s="227"/>
      <x:c r="Y89" s="227"/>
      <x:c r="Z89" s="227"/>
    </x:row>
    <x:row r="90">
      <x:c r="A90" s="227"/>
      <x:c r="B90" s="227"/>
      <x:c r="C90" s="227"/>
      <x:c r="D90" s="227"/>
      <x:c r="E90" s="227"/>
      <x:c r="F90" s="227"/>
      <x:c r="G90" s="227"/>
      <x:c r="H90" s="227"/>
      <x:c r="I90" s="227"/>
      <x:c r="J90" s="227"/>
      <x:c r="K90" s="227"/>
      <x:c r="L90" s="227"/>
      <x:c r="M90" s="227"/>
      <x:c r="N90" s="227"/>
      <x:c r="O90" s="227"/>
      <x:c r="P90" s="227"/>
      <x:c r="Q90" s="227"/>
      <x:c r="R90" s="227"/>
      <x:c r="S90" s="227"/>
      <x:c r="T90" s="227"/>
      <x:c r="U90" s="227"/>
      <x:c r="V90" s="227"/>
      <x:c r="W90" s="227"/>
      <x:c r="X90" s="227"/>
      <x:c r="Y90" s="227"/>
      <x:c r="Z90" s="227"/>
    </x:row>
    <x:row r="91">
      <x:c r="A91" s="227"/>
      <x:c r="B91" s="227"/>
      <x:c r="C91" s="227"/>
      <x:c r="D91" s="227"/>
      <x:c r="E91" s="227"/>
      <x:c r="F91" s="227"/>
      <x:c r="G91" s="227"/>
      <x:c r="H91" s="227"/>
      <x:c r="I91" s="227"/>
      <x:c r="J91" s="227"/>
      <x:c r="K91" s="227"/>
      <x:c r="L91" s="227"/>
      <x:c r="M91" s="227"/>
      <x:c r="N91" s="227"/>
      <x:c r="O91" s="227"/>
      <x:c r="P91" s="227"/>
      <x:c r="Q91" s="227"/>
      <x:c r="R91" s="227"/>
      <x:c r="S91" s="227"/>
      <x:c r="T91" s="227"/>
      <x:c r="U91" s="227"/>
      <x:c r="V91" s="227"/>
      <x:c r="W91" s="227"/>
      <x:c r="X91" s="227"/>
      <x:c r="Y91" s="227"/>
      <x:c r="Z91" s="227"/>
    </x:row>
    <x:row r="92">
      <x:c r="A92" s="227"/>
      <x:c r="B92" s="227"/>
      <x:c r="C92" s="227"/>
      <x:c r="D92" s="227"/>
      <x:c r="E92" s="227"/>
      <x:c r="F92" s="227"/>
      <x:c r="G92" s="227"/>
      <x:c r="H92" s="227"/>
      <x:c r="I92" s="227"/>
      <x:c r="J92" s="227"/>
      <x:c r="K92" s="227"/>
      <x:c r="L92" s="227"/>
      <x:c r="M92" s="227"/>
      <x:c r="N92" s="227"/>
      <x:c r="O92" s="227"/>
      <x:c r="P92" s="227"/>
      <x:c r="Q92" s="227"/>
      <x:c r="R92" s="227"/>
      <x:c r="S92" s="227"/>
      <x:c r="T92" s="227"/>
      <x:c r="U92" s="227"/>
      <x:c r="V92" s="227"/>
      <x:c r="W92" s="227"/>
      <x:c r="X92" s="227"/>
      <x:c r="Y92" s="227"/>
      <x:c r="Z92" s="227"/>
    </x:row>
    <x:row r="93">
      <x:c r="A93" s="227"/>
      <x:c r="B93" s="227"/>
      <x:c r="C93" s="227"/>
      <x:c r="D93" s="227"/>
      <x:c r="E93" s="227"/>
      <x:c r="F93" s="227"/>
      <x:c r="G93" s="227"/>
      <x:c r="H93" s="227"/>
      <x:c r="I93" s="227"/>
      <x:c r="J93" s="227"/>
      <x:c r="K93" s="227"/>
      <x:c r="L93" s="227"/>
      <x:c r="M93" s="227"/>
      <x:c r="N93" s="227"/>
      <x:c r="O93" s="227"/>
      <x:c r="P93" s="227"/>
      <x:c r="Q93" s="227"/>
      <x:c r="R93" s="227"/>
      <x:c r="S93" s="227"/>
      <x:c r="T93" s="227"/>
      <x:c r="U93" s="227"/>
      <x:c r="V93" s="227"/>
      <x:c r="W93" s="227"/>
      <x:c r="X93" s="227"/>
      <x:c r="Y93" s="227"/>
      <x:c r="Z93" s="227"/>
    </x:row>
    <x:row r="94">
      <x:c r="A94" s="227"/>
      <x:c r="B94" s="227"/>
      <x:c r="C94" s="227"/>
      <x:c r="D94" s="227"/>
      <x:c r="E94" s="227"/>
      <x:c r="F94" s="227"/>
      <x:c r="G94" s="227"/>
      <x:c r="H94" s="227"/>
      <x:c r="I94" s="227"/>
      <x:c r="J94" s="227"/>
      <x:c r="K94" s="227"/>
      <x:c r="L94" s="227"/>
      <x:c r="M94" s="227"/>
      <x:c r="N94" s="227"/>
      <x:c r="O94" s="227"/>
      <x:c r="P94" s="227"/>
      <x:c r="Q94" s="227"/>
      <x:c r="R94" s="227"/>
      <x:c r="S94" s="227"/>
      <x:c r="T94" s="227"/>
      <x:c r="U94" s="227"/>
      <x:c r="V94" s="227"/>
      <x:c r="W94" s="227"/>
      <x:c r="X94" s="227"/>
      <x:c r="Y94" s="227"/>
      <x:c r="Z94" s="227"/>
    </x:row>
    <x:row r="95">
      <x:c r="A95" s="227"/>
      <x:c r="B95" s="227"/>
      <x:c r="C95" s="227"/>
      <x:c r="D95" s="227"/>
      <x:c r="E95" s="227"/>
      <x:c r="F95" s="227"/>
      <x:c r="G95" s="227"/>
      <x:c r="H95" s="227"/>
      <x:c r="I95" s="227"/>
      <x:c r="J95" s="227"/>
      <x:c r="K95" s="227"/>
      <x:c r="L95" s="227"/>
      <x:c r="M95" s="227"/>
      <x:c r="N95" s="227"/>
      <x:c r="O95" s="227"/>
      <x:c r="P95" s="227"/>
      <x:c r="Q95" s="227"/>
      <x:c r="R95" s="227"/>
      <x:c r="S95" s="227"/>
      <x:c r="T95" s="227"/>
      <x:c r="U95" s="227"/>
      <x:c r="V95" s="227"/>
      <x:c r="W95" s="227"/>
      <x:c r="X95" s="227"/>
      <x:c r="Y95" s="227"/>
      <x:c r="Z95" s="227"/>
    </x:row>
    <x:row r="96">
      <x:c r="A96" s="227"/>
      <x:c r="B96" s="227"/>
      <x:c r="C96" s="227"/>
      <x:c r="D96" s="227"/>
      <x:c r="E96" s="227"/>
      <x:c r="F96" s="227"/>
      <x:c r="G96" s="227"/>
      <x:c r="H96" s="227"/>
      <x:c r="I96" s="227"/>
      <x:c r="J96" s="227"/>
      <x:c r="K96" s="227"/>
      <x:c r="L96" s="227"/>
      <x:c r="M96" s="227"/>
      <x:c r="N96" s="227"/>
      <x:c r="O96" s="227"/>
      <x:c r="P96" s="227"/>
      <x:c r="Q96" s="227"/>
      <x:c r="R96" s="227"/>
      <x:c r="S96" s="227"/>
      <x:c r="T96" s="227"/>
      <x:c r="U96" s="227"/>
      <x:c r="V96" s="227"/>
      <x:c r="W96" s="227"/>
      <x:c r="X96" s="227"/>
      <x:c r="Y96" s="227"/>
      <x:c r="Z96" s="227"/>
    </x:row>
    <x:row r="97">
      <x:c r="A97" s="227"/>
      <x:c r="B97" s="227"/>
      <x:c r="C97" s="227"/>
      <x:c r="D97" s="227"/>
      <x:c r="E97" s="227"/>
      <x:c r="F97" s="227"/>
      <x:c r="G97" s="227"/>
      <x:c r="H97" s="227"/>
      <x:c r="I97" s="227"/>
      <x:c r="J97" s="227"/>
      <x:c r="K97" s="227"/>
      <x:c r="L97" s="227"/>
      <x:c r="M97" s="227"/>
      <x:c r="N97" s="227"/>
      <x:c r="O97" s="227"/>
      <x:c r="P97" s="227"/>
      <x:c r="Q97" s="227"/>
      <x:c r="R97" s="227"/>
      <x:c r="S97" s="227"/>
      <x:c r="T97" s="227"/>
      <x:c r="U97" s="227"/>
      <x:c r="V97" s="227"/>
      <x:c r="W97" s="227"/>
      <x:c r="X97" s="227"/>
      <x:c r="Y97" s="227"/>
      <x:c r="Z97" s="227"/>
    </x:row>
    <x:row r="98">
      <x:c r="A98" s="227"/>
      <x:c r="B98" s="227"/>
      <x:c r="C98" s="227"/>
      <x:c r="D98" s="227"/>
      <x:c r="E98" s="227"/>
      <x:c r="F98" s="227"/>
      <x:c r="G98" s="227"/>
      <x:c r="H98" s="227"/>
      <x:c r="I98" s="227"/>
      <x:c r="J98" s="227"/>
      <x:c r="K98" s="227"/>
      <x:c r="L98" s="227"/>
      <x:c r="M98" s="227"/>
      <x:c r="N98" s="227"/>
      <x:c r="O98" s="227"/>
      <x:c r="P98" s="227"/>
      <x:c r="Q98" s="227"/>
      <x:c r="R98" s="227"/>
      <x:c r="S98" s="227"/>
      <x:c r="T98" s="227"/>
      <x:c r="U98" s="227"/>
      <x:c r="V98" s="227"/>
      <x:c r="W98" s="227"/>
      <x:c r="X98" s="227"/>
      <x:c r="Y98" s="227"/>
      <x:c r="Z98" s="227"/>
    </x:row>
    <x:row r="99">
      <x:c r="A99" s="227"/>
      <x:c r="B99" s="227"/>
      <x:c r="C99" s="227"/>
      <x:c r="D99" s="227"/>
      <x:c r="E99" s="227"/>
      <x:c r="F99" s="227"/>
      <x:c r="G99" s="227"/>
      <x:c r="H99" s="227"/>
      <x:c r="I99" s="227"/>
      <x:c r="J99" s="227"/>
      <x:c r="K99" s="227"/>
      <x:c r="L99" s="227"/>
      <x:c r="M99" s="227"/>
      <x:c r="N99" s="227"/>
      <x:c r="O99" s="227"/>
      <x:c r="P99" s="227"/>
      <x:c r="Q99" s="227"/>
      <x:c r="R99" s="227"/>
      <x:c r="S99" s="227"/>
      <x:c r="T99" s="227"/>
      <x:c r="U99" s="227"/>
      <x:c r="V99" s="227"/>
      <x:c r="W99" s="227"/>
      <x:c r="X99" s="227"/>
      <x:c r="Y99" s="227"/>
      <x:c r="Z99" s="227"/>
    </x:row>
    <x:row r="100">
      <x:c r="A100" s="227"/>
      <x:c r="B100" s="227"/>
      <x:c r="C100" s="227"/>
      <x:c r="D100" s="227"/>
      <x:c r="E100" s="227"/>
      <x:c r="F100" s="227"/>
      <x:c r="G100" s="227"/>
      <x:c r="H100" s="227"/>
      <x:c r="I100" s="227"/>
      <x:c r="J100" s="227"/>
      <x:c r="K100" s="227"/>
      <x:c r="L100" s="227"/>
      <x:c r="M100" s="227"/>
      <x:c r="N100" s="227"/>
      <x:c r="O100" s="227"/>
      <x:c r="P100" s="227"/>
      <x:c r="Q100" s="227"/>
      <x:c r="R100" s="227"/>
      <x:c r="S100" s="227"/>
      <x:c r="T100" s="227"/>
      <x:c r="U100" s="227"/>
      <x:c r="V100" s="227"/>
      <x:c r="W100" s="227"/>
      <x:c r="X100" s="227"/>
      <x:c r="Y100" s="227"/>
      <x:c r="Z100" s="227"/>
    </x:row>
  </x:sheetData>
  <x:mergeCells>
    <x:mergeCell ref="A1:V1"/>
    <x:mergeCell ref="A2:V2"/>
    <x:mergeCell ref="A7:V7"/>
    <x:mergeCell ref="A21:V21"/>
    <x:mergeCell ref="A44:V44"/>
    <x:mergeCell ref="A62:V62"/>
    <x:mergeCell ref="X2:Z2"/>
  </x:mergeCells>
  <x:conditionalFormatting sqref="B78:V78">
    <x:cfRule type="cellIs" dxfId="2" priority="1" operator="lessThan">
      <x:formula>0</x:formula>
    </x:cfRule>
  </x:conditionalFormatting>
  <x:conditionalFormatting sqref="B33:V33">
    <x:cfRule type="cellIs" dxfId="3" priority="2" operator="lessThan">
      <x:formula>1000</x:formula>
    </x:cfRule>
  </x:conditionalFormatting>
  <x:pageMargins left="0.7" right="0.7" top="0.75" bottom="0.75" header="0.3" footer="0.3"/>
</x:worksheet>
</file>

<file path=xl/worksheets/sheet7.xml><?xml version="1.0" encoding="utf-8"?>
<x:worksheet xmlns:x="http://schemas.openxmlformats.org/spreadsheetml/2006/main">
  <x:sheetFormatPr defaultRowHeight="15"/>
  <x:cols>
    <x:col min="1" max="1" width="38" hidden="0" customWidth="1"/>
    <x:col min="2" max="2" width="19" hidden="0" customWidth="1"/>
    <x:col min="3" max="3" width="19" hidden="0" customWidth="1"/>
    <x:col min="5" max="5" width="16" hidden="0" customWidth="1"/>
    <x:col min="6" max="6" width="14" hidden="0" customWidth="1"/>
    <x:col min="7" max="7" width="14" hidden="0" customWidth="1"/>
    <x:col min="8" max="8" width="14" hidden="0" customWidth="1"/>
    <x:col min="9" max="9" width="14" hidden="0" customWidth="1"/>
    <x:col min="4" max="4" width="58" hidden="0" customWidth="1"/>
    <x:col min="10" max="10" width="14" hidden="0" customWidth="1"/>
    <x:col min="11" max="11" width="14" hidden="0" customWidth="1"/>
    <x:col min="12" max="12" width="14" hidden="0" customWidth="1"/>
    <x:col min="13" max="13" width="14" hidden="0" customWidth="1"/>
  </x:cols>
  <x:sheetData>
    <x:row r="1" ht="32" customHeight="1">
      <x:c r="A1" s="474" t="str">
        <x:v>MAGNÆRA™ — VALIDATED TWO-SCENARIO INVESTOR SUMMARY</x:v>
      </x:c>
      <x:c r="B1" s="474"/>
      <x:c r="C1" s="474"/>
      <x:c r="D1" s="474"/>
      <x:c r="E1" s="474"/>
      <x:c r="F1" s="474"/>
      <x:c r="G1" s="474"/>
      <x:c r="H1" s="474"/>
      <x:c r="I1" s="474"/>
      <x:c r="J1" s="474"/>
      <x:c r="K1" s="475"/>
      <x:c r="L1" s="475"/>
      <x:c r="M1" s="475"/>
      <x:c r="N1" s="227"/>
      <x:c r="O1" s="227"/>
      <x:c r="P1" s="227"/>
      <x:c r="Q1" s="227"/>
      <x:c r="R1" s="227"/>
      <x:c r="S1" s="227"/>
      <x:c r="T1" s="227"/>
      <x:c r="U1" s="227"/>
      <x:c r="V1" s="227"/>
      <x:c r="W1" s="227"/>
      <x:c r="X1" s="227"/>
      <x:c r="Y1" s="227"/>
      <x:c r="Z1" s="227"/>
    </x:row>
    <x:row r="2" ht="34" customHeight="1">
      <x:c r="A2" s="478" t="str">
        <x:v>21-month management case · Aug-26 to Apr-28 · €230k seed case vs. €230k seed + €4.0M institutional acceleration. Professional validation includes explicit personnel/OPEX scaling, post-500 cost growth, D&amp;A, corporate-tax provision and working-capital commitments.</x:v>
      </x:c>
      <x:c r="B2" s="478"/>
      <x:c r="C2" s="478"/>
      <x:c r="D2" s="478"/>
      <x:c r="E2" s="478"/>
      <x:c r="F2" s="478"/>
      <x:c r="G2" s="478"/>
      <x:c r="H2" s="478"/>
      <x:c r="I2" s="478"/>
      <x:c r="J2" s="478"/>
      <x:c r="K2" s="479"/>
      <x:c r="L2" s="479"/>
      <x:c r="M2" s="479"/>
      <x:c r="N2" s="227"/>
      <x:c r="O2" s="227"/>
      <x:c r="P2" s="227"/>
      <x:c r="Q2" s="227"/>
      <x:c r="R2" s="227"/>
      <x:c r="S2" s="227"/>
      <x:c r="T2" s="227"/>
      <x:c r="U2" s="227"/>
      <x:c r="V2" s="227"/>
      <x:c r="W2" s="227"/>
      <x:c r="X2" s="227"/>
      <x:c r="Y2" s="227"/>
      <x:c r="Z2" s="227"/>
    </x:row>
    <x:row r="3">
      <x:c r="A3" s="314"/>
      <x:c r="B3" s="314"/>
      <x:c r="C3" s="314"/>
      <x:c r="D3" s="227"/>
      <x:c r="E3" s="314"/>
      <x:c r="F3" s="314"/>
      <x:c r="G3" s="314"/>
      <x:c r="H3" s="314"/>
      <x:c r="I3" s="314"/>
      <x:c r="J3" s="227"/>
      <x:c r="K3" s="227"/>
      <x:c r="L3" s="227"/>
      <x:c r="M3" s="227"/>
      <x:c r="N3" s="227"/>
      <x:c r="O3" s="227"/>
      <x:c r="P3" s="227"/>
      <x:c r="Q3" s="227"/>
      <x:c r="R3" s="227"/>
      <x:c r="S3" s="227"/>
      <x:c r="T3" s="227"/>
      <x:c r="U3" s="227"/>
      <x:c r="V3" s="227"/>
      <x:c r="W3" s="227"/>
      <x:c r="X3" s="227"/>
      <x:c r="Y3" s="227"/>
      <x:c r="Z3" s="227"/>
    </x:row>
    <x:row r="4">
      <x:c r="A4" s="484" t="str">
        <x:v>Metric</x:v>
      </x:c>
      <x:c r="B4" s="485" t="str">
        <x:v>Scenario 1 Organic</x:v>
      </x:c>
      <x:c r="C4" s="485" t="str">
        <x:v>Scenario 2 Institutional</x:v>
      </x:c>
      <x:c r="D4" s="484" t="str">
        <x:v>Investor interpretation</x:v>
      </x:c>
      <x:c r="E4" s="414"/>
      <x:c r="F4" s="489" t="str">
        <x:v>SCENARIO READ-THROUGH</x:v>
      </x:c>
      <x:c r="G4" s="489"/>
      <x:c r="H4" s="490"/>
      <x:c r="I4" s="490"/>
      <x:c r="J4" s="421"/>
      <x:c r="K4" s="421"/>
      <x:c r="L4" s="421"/>
      <x:c r="M4" s="421"/>
      <x:c r="N4" s="227"/>
      <x:c r="O4" s="227"/>
      <x:c r="P4" s="227"/>
      <x:c r="Q4" s="227"/>
      <x:c r="R4" s="227"/>
      <x:c r="S4" s="227"/>
      <x:c r="T4" s="227"/>
      <x:c r="U4" s="227"/>
      <x:c r="V4" s="227"/>
      <x:c r="W4" s="227"/>
      <x:c r="X4" s="227"/>
      <x:c r="Y4" s="227"/>
      <x:c r="Z4" s="227"/>
    </x:row>
    <x:row r="5">
      <x:c r="A5" s="227" t="str">
        <x:v>Total equity funding</x:v>
      </x:c>
      <x:c r="B5" s="302" t="n">
        <x:v>230000</x:v>
      </x:c>
      <x:c r="C5" s="302" t="n">
        <x:v>4230000</x:v>
      </x:c>
      <x:c r="D5" s="227" t="str">
        <x:v>€230k seed in both; Scenario 2 adds €4.0M in Mar-27.</x:v>
      </x:c>
      <x:c r="E5" s="414"/>
      <x:c r="F5" s="497" t="str">
        <x:v>SCENARIO 1 — ORGANIC COMPOUNDING
€230k seed capital funds the first 30 commercial machines and inventory. The model uses an indicative 70% reinvestment review above a three-month OPEX reserve. By Apr-28, 402 physical machines are active and 800 commercial machines have been ordered. The 400 machines ordered in Jan-28 remain in production / transit / personalisation at horizon close.</x:v>
      </x:c>
      <x:c r="G5" s="497"/>
      <x:c r="H5" s="498"/>
      <x:c r="I5" s="498"/>
      <x:c r="J5" s="499"/>
      <x:c r="K5" s="499"/>
      <x:c r="L5" s="499"/>
      <x:c r="M5" s="499"/>
      <x:c r="N5" s="227"/>
      <x:c r="O5" s="227"/>
      <x:c r="P5" s="227"/>
      <x:c r="Q5" s="227"/>
      <x:c r="R5" s="227"/>
      <x:c r="S5" s="227"/>
      <x:c r="T5" s="227"/>
      <x:c r="U5" s="227"/>
      <x:c r="V5" s="227"/>
      <x:c r="W5" s="227"/>
      <x:c r="X5" s="227"/>
      <x:c r="Y5" s="227"/>
      <x:c r="Z5" s="227"/>
    </x:row>
    <x:row r="6">
      <x:c r="A6" s="227" t="str">
        <x:v>Final active physical machines</x:v>
      </x:c>
      <x:c r="B6" s="301" t="n">
        <x:f>'Scenario 1 Organic'!V18</x:f>
        <x:v>402</x:v>
      </x:c>
      <x:c r="C6" s="301" t="n">
        <x:f>'Scenario 2 Fund'!V18</x:f>
        <x:v>1032</x:v>
      </x:c>
      <x:c r="D6" s="227" t="str">
        <x:v>Includes the two shareholder-funded pilot machines.</x:v>
      </x:c>
      <x:c r="E6" s="414"/>
      <x:c r="F6" s="497"/>
      <x:c r="G6" s="497"/>
      <x:c r="H6" s="498"/>
      <x:c r="I6" s="498"/>
      <x:c r="J6" s="499"/>
      <x:c r="K6" s="499"/>
      <x:c r="L6" s="499"/>
      <x:c r="M6" s="499"/>
      <x:c r="N6" s="227"/>
      <x:c r="O6" s="227"/>
      <x:c r="P6" s="227"/>
      <x:c r="Q6" s="227"/>
      <x:c r="R6" s="227"/>
      <x:c r="S6" s="227"/>
      <x:c r="T6" s="227"/>
      <x:c r="U6" s="227"/>
      <x:c r="V6" s="227"/>
      <x:c r="W6" s="227"/>
      <x:c r="X6" s="227"/>
      <x:c r="Y6" s="227"/>
      <x:c r="Z6" s="227"/>
    </x:row>
    <x:row r="7">
      <x:c r="A7" s="227" t="str">
        <x:v>Commercial machines ordered</x:v>
      </x:c>
      <x:c r="B7" s="301" t="n">
        <x:f>'Scenario 1 Organic'!V11</x:f>
        <x:v>800</x:v>
      </x:c>
      <x:c r="C7" s="301" t="n">
        <x:f>'Scenario 2 Fund'!V11</x:f>
        <x:v>1030</x:v>
      </x:c>
      <x:c r="D7" s="227" t="str">
        <x:v>Scenario 1 retains 400 machines in the deployment pipeline at close.</x:v>
      </x:c>
      <x:c r="E7" s="414"/>
      <x:c r="F7" s="497"/>
      <x:c r="G7" s="497"/>
      <x:c r="H7" s="498"/>
      <x:c r="I7" s="498"/>
      <x:c r="J7" s="499"/>
      <x:c r="K7" s="499"/>
      <x:c r="L7" s="499"/>
      <x:c r="M7" s="499"/>
      <x:c r="N7" s="227"/>
      <x:c r="O7" s="227"/>
      <x:c r="P7" s="227"/>
      <x:c r="Q7" s="227"/>
      <x:c r="R7" s="227"/>
      <x:c r="S7" s="227"/>
      <x:c r="T7" s="227"/>
      <x:c r="U7" s="227"/>
      <x:c r="V7" s="227"/>
      <x:c r="W7" s="227"/>
      <x:c r="X7" s="227"/>
      <x:c r="Y7" s="227"/>
      <x:c r="Z7" s="227"/>
    </x:row>
    <x:row r="8">
      <x:c r="A8" s="227" t="str">
        <x:v>Gross revenue</x:v>
      </x:c>
      <x:c r="B8" s="302" t="n">
        <x:f>'Professional P&amp;L'!B43</x:f>
        <x:v>11386057.5</x:v>
      </x:c>
      <x:c r="C8" s="302" t="n">
        <x:f>'Professional P&amp;L'!C43</x:f>
        <x:v>41132173.125</x:v>
      </x:c>
      <x:c r="D8" s="227" t="str">
        <x:v>21-month recognised gross revenue.</x:v>
      </x:c>
      <x:c r="E8" s="414"/>
      <x:c r="F8" s="497"/>
      <x:c r="G8" s="497"/>
      <x:c r="H8" s="498"/>
      <x:c r="I8" s="498"/>
      <x:c r="J8" s="499"/>
      <x:c r="K8" s="499"/>
      <x:c r="L8" s="499"/>
      <x:c r="M8" s="499"/>
      <x:c r="N8" s="227"/>
      <x:c r="O8" s="227"/>
      <x:c r="P8" s="227"/>
      <x:c r="Q8" s="227"/>
      <x:c r="R8" s="227"/>
      <x:c r="S8" s="227"/>
      <x:c r="T8" s="227"/>
      <x:c r="U8" s="227"/>
      <x:c r="V8" s="227"/>
      <x:c r="W8" s="227"/>
      <x:c r="X8" s="227"/>
      <x:c r="Y8" s="227"/>
      <x:c r="Z8" s="227"/>
    </x:row>
    <x:row r="9">
      <x:c r="A9" s="227" t="str">
        <x:v>Net revenue retained</x:v>
      </x:c>
      <x:c r="B9" s="302" t="n">
        <x:f>'Professional P&amp;L'!B44</x:f>
        <x:v>10986057.5</x:v>
      </x:c>
      <x:c r="C9" s="302" t="n">
        <x:f>'Professional P&amp;L'!C44</x:f>
        <x:v>40732173.125</x:v>
      </x:c>
      <x:c r="D9" s="227" t="str">
        <x:v>After club revenue share.</x:v>
      </x:c>
      <x:c r="E9" s="414"/>
      <x:c r="F9" s="497"/>
      <x:c r="G9" s="497"/>
      <x:c r="H9" s="498"/>
      <x:c r="I9" s="498"/>
      <x:c r="J9" s="499"/>
      <x:c r="K9" s="499"/>
      <x:c r="L9" s="499"/>
      <x:c r="M9" s="499"/>
      <x:c r="N9" s="227"/>
      <x:c r="O9" s="227"/>
      <x:c r="P9" s="227"/>
      <x:c r="Q9" s="227"/>
      <x:c r="R9" s="227"/>
      <x:c r="S9" s="227"/>
      <x:c r="T9" s="227"/>
      <x:c r="U9" s="227"/>
      <x:c r="V9" s="227"/>
      <x:c r="W9" s="227"/>
      <x:c r="X9" s="227"/>
      <x:c r="Y9" s="227"/>
      <x:c r="Z9" s="227"/>
    </x:row>
    <x:row r="10">
      <x:c r="A10" s="227" t="str">
        <x:v>Variable costs</x:v>
      </x:c>
      <x:c r="B10" s="302" t="n">
        <x:f>'Professional P&amp;L'!B45</x:f>
        <x:v>5222637.674999999</x:v>
      </x:c>
      <x:c r="C10" s="302" t="n">
        <x:f>'Professional P&amp;L'!C45</x:f>
        <x:v>18541356.20625</x:v>
      </x:c>
      <x:c r="D10" s="227" t="str">
        <x:v>Manufacturing + venue share + outsourced logistics + processing + handling + campaign costs.</x:v>
      </x:c>
      <x:c r="E10" s="414"/>
      <x:c r="F10" s="497"/>
      <x:c r="G10" s="497"/>
      <x:c r="H10" s="498"/>
      <x:c r="I10" s="498"/>
      <x:c r="J10" s="499"/>
      <x:c r="K10" s="499"/>
      <x:c r="L10" s="499"/>
      <x:c r="M10" s="499"/>
      <x:c r="N10" s="227"/>
      <x:c r="O10" s="227"/>
      <x:c r="P10" s="227"/>
      <x:c r="Q10" s="227"/>
      <x:c r="R10" s="227"/>
      <x:c r="S10" s="227"/>
      <x:c r="T10" s="227"/>
      <x:c r="U10" s="227"/>
      <x:c r="V10" s="227"/>
      <x:c r="W10" s="227"/>
      <x:c r="X10" s="227"/>
      <x:c r="Y10" s="227"/>
      <x:c r="Z10" s="227"/>
    </x:row>
    <x:row r="11">
      <x:c r="A11" s="227" t="str">
        <x:v>Personnel &amp; fixed OPEX</x:v>
      </x:c>
      <x:c r="B11" s="302" t="n">
        <x:f>'Professional P&amp;L'!B46</x:f>
        <x:v>839100</x:v>
      </x:c>
      <x:c r="C11" s="302" t="n">
        <x:f>'Professional P&amp;L'!C46</x:f>
        <x:v>2936849.5783135835</x:v>
      </x:c>
      <x:c r="D11" s="227" t="str">
        <x:v>Explicit salary / operating envelope; Scenario 2 scales beyond 500 machines.</x:v>
      </x:c>
      <x:c r="E11" s="414"/>
      <x:c r="F11" s="301"/>
      <x:c r="G11" s="301"/>
      <x:c r="H11" s="302"/>
      <x:c r="I11" s="302"/>
      <x:c r="J11" s="227"/>
      <x:c r="K11" s="227"/>
      <x:c r="L11" s="227"/>
      <x:c r="M11" s="227"/>
      <x:c r="N11" s="227"/>
      <x:c r="O11" s="227"/>
      <x:c r="P11" s="227"/>
      <x:c r="Q11" s="227"/>
      <x:c r="R11" s="227"/>
      <x:c r="S11" s="227"/>
      <x:c r="T11" s="227"/>
      <x:c r="U11" s="227"/>
      <x:c r="V11" s="227"/>
      <x:c r="W11" s="227"/>
      <x:c r="X11" s="227"/>
      <x:c r="Y11" s="227"/>
      <x:c r="Z11" s="227"/>
    </x:row>
    <x:row r="12">
      <x:c r="A12" s="227" t="str">
        <x:v>EBITDA</x:v>
      </x:c>
      <x:c r="B12" s="302" t="n">
        <x:f>'Professional P&amp;L'!B47</x:f>
        <x:v>5324319.825</x:v>
      </x:c>
      <x:c r="C12" s="302" t="n">
        <x:f>'Professional P&amp;L'!C47</x:f>
        <x:v>19653967.340436418</x:v>
      </x:c>
      <x:c r="D12" s="227" t="str">
        <x:v>Core operating profitability.</x:v>
      </x:c>
      <x:c r="E12" s="414"/>
      <x:c r="F12" s="505" t="str">
        <x:v>SCENARIO 2 — INSTITUTIONAL ACCELERATION
The same operating base receives a €4.0M institutional round in Mar-27. A 300-machine programme plus a 700-machine follow-on takes the network to 1,032 active physical machines. Unlike the earlier draft, fixed OPEX no longer remains flat above 500 machines: personnel, technology, administration, legal/commercial and brand/sales costs scale by category, reaching approximately €515k/month at 1,032 machines.</x:v>
      </x:c>
      <x:c r="G12" s="505"/>
      <x:c r="H12" s="506"/>
      <x:c r="I12" s="506"/>
      <x:c r="J12" s="507"/>
      <x:c r="K12" s="507"/>
      <x:c r="L12" s="507"/>
      <x:c r="M12" s="507"/>
      <x:c r="N12" s="227"/>
      <x:c r="O12" s="227"/>
      <x:c r="P12" s="227"/>
      <x:c r="Q12" s="227"/>
      <x:c r="R12" s="227"/>
      <x:c r="S12" s="227"/>
      <x:c r="T12" s="227"/>
      <x:c r="U12" s="227"/>
      <x:c r="V12" s="227"/>
      <x:c r="W12" s="227"/>
      <x:c r="X12" s="227"/>
      <x:c r="Y12" s="227"/>
      <x:c r="Z12" s="227"/>
    </x:row>
    <x:row r="13">
      <x:c r="A13" s="227" t="str">
        <x:v>D&amp;A</x:v>
      </x:c>
      <x:c r="B13" s="302" t="n">
        <x:f>'Professional P&amp;L'!B48</x:f>
        <x:v>70413.02222222224</x:v>
      </x:c>
      <x:c r="C13" s="302" t="n">
        <x:f>'Professional P&amp;L'!C48</x:f>
        <x:v>265410.4111111111</x:v>
      </x:c>
      <x:c r="D13" s="227" t="str">
        <x:v>60-month straight-line analytical proxy.</x:v>
      </x:c>
      <x:c r="E13" s="414"/>
      <x:c r="F13" s="505"/>
      <x:c r="G13" s="505"/>
      <x:c r="H13" s="506"/>
      <x:c r="I13" s="506"/>
      <x:c r="J13" s="507"/>
      <x:c r="K13" s="507"/>
      <x:c r="L13" s="507"/>
      <x:c r="M13" s="507"/>
      <x:c r="N13" s="227"/>
      <x:c r="O13" s="227"/>
      <x:c r="P13" s="227"/>
      <x:c r="Q13" s="227"/>
      <x:c r="R13" s="227"/>
      <x:c r="S13" s="227"/>
      <x:c r="T13" s="227"/>
      <x:c r="U13" s="227"/>
      <x:c r="V13" s="227"/>
      <x:c r="W13" s="227"/>
      <x:c r="X13" s="227"/>
      <x:c r="Y13" s="227"/>
      <x:c r="Z13" s="227"/>
    </x:row>
    <x:row r="14">
      <x:c r="A14" s="227" t="str">
        <x:v>Corporate tax provision</x:v>
      </x:c>
      <x:c r="B14" s="302" t="n">
        <x:f>'Professional P&amp;L'!B50</x:f>
        <x:v>1324847.40625</x:v>
      </x:c>
      <x:c r="C14" s="302" t="n">
        <x:f>'Professional P&amp;L'!C50</x:f>
        <x:v>4858509.937886883</x:v>
      </x:c>
      <x:c r="D14" s="227" t="str">
        <x:v>25% positive-EBIT proxy; shown as liquidity reserve.</x:v>
      </x:c>
      <x:c r="E14" s="414"/>
      <x:c r="F14" s="505"/>
      <x:c r="G14" s="505"/>
      <x:c r="H14" s="506"/>
      <x:c r="I14" s="506"/>
      <x:c r="J14" s="507"/>
      <x:c r="K14" s="507"/>
      <x:c r="L14" s="507"/>
      <x:c r="M14" s="507"/>
      <x:c r="N14" s="227"/>
      <x:c r="O14" s="227"/>
      <x:c r="P14" s="227"/>
      <x:c r="Q14" s="227"/>
      <x:c r="R14" s="227"/>
      <x:c r="S14" s="227"/>
      <x:c r="T14" s="227"/>
      <x:c r="U14" s="227"/>
      <x:c r="V14" s="227"/>
      <x:c r="W14" s="227"/>
      <x:c r="X14" s="227"/>
      <x:c r="Y14" s="227"/>
      <x:c r="Z14" s="227"/>
    </x:row>
    <x:row r="15">
      <x:c r="A15" s="227" t="str">
        <x:v>Net income</x:v>
      </x:c>
      <x:c r="B15" s="302" t="n">
        <x:f>'Professional P&amp;L'!B51</x:f>
        <x:v>3929059.3965277784</x:v>
      </x:c>
      <x:c r="C15" s="302" t="n">
        <x:f>'Professional P&amp;L'!C51</x:f>
        <x:v>14530046.991438424</x:v>
      </x:c>
      <x:c r="D15" s="227" t="str">
        <x:v>After D&amp;A and tax provision.</x:v>
      </x:c>
      <x:c r="E15" s="414"/>
      <x:c r="F15" s="505"/>
      <x:c r="G15" s="505"/>
      <x:c r="H15" s="506"/>
      <x:c r="I15" s="506"/>
      <x:c r="J15" s="507"/>
      <x:c r="K15" s="507"/>
      <x:c r="L15" s="507"/>
      <x:c r="M15" s="507"/>
      <x:c r="N15" s="227"/>
      <x:c r="O15" s="227"/>
      <x:c r="P15" s="227"/>
      <x:c r="Q15" s="227"/>
      <x:c r="R15" s="227"/>
      <x:c r="S15" s="227"/>
      <x:c r="T15" s="227"/>
      <x:c r="U15" s="227"/>
      <x:c r="V15" s="227"/>
      <x:c r="W15" s="227"/>
      <x:c r="X15" s="227"/>
      <x:c r="Y15" s="227"/>
      <x:c r="Z15" s="227"/>
    </x:row>
    <x:row r="16">
      <x:c r="A16" s="315" t="str">
        <x:v>Ending gross cash</x:v>
      </x:c>
      <x:c r="B16" s="486" t="n">
        <x:f>'Working Capital'!B5</x:f>
        <x:v>3579698.1066666665</x:v>
      </x:c>
      <x:c r="C16" s="486" t="n">
        <x:f>'Working Capital'!C5</x:f>
        <x:v>21763410.488769747</x:v>
      </x:c>
      <x:c r="D16" s="227" t="str">
        <x:v>Before tax reserve and post-period obligations.</x:v>
      </x:c>
      <x:c r="E16" s="414"/>
      <x:c r="F16" s="505"/>
      <x:c r="G16" s="505"/>
      <x:c r="H16" s="506"/>
      <x:c r="I16" s="506"/>
      <x:c r="J16" s="507"/>
      <x:c r="K16" s="507"/>
      <x:c r="L16" s="507"/>
      <x:c r="M16" s="507"/>
      <x:c r="N16" s="227"/>
      <x:c r="O16" s="227"/>
      <x:c r="P16" s="227"/>
      <x:c r="Q16" s="227"/>
      <x:c r="R16" s="227"/>
      <x:c r="S16" s="227"/>
      <x:c r="T16" s="227"/>
      <x:c r="U16" s="227"/>
      <x:c r="V16" s="227"/>
      <x:c r="W16" s="227"/>
      <x:c r="X16" s="227"/>
      <x:c r="Y16" s="227"/>
      <x:c r="Z16" s="227"/>
    </x:row>
    <x:row r="17">
      <x:c r="A17" s="227" t="str">
        <x:v>Inventory working capital</x:v>
      </x:c>
      <x:c r="B17" s="302" t="n">
        <x:f>'Working Capital'!B7</x:f>
        <x:v>106516.90999999999</x:v>
      </x:c>
      <x:c r="C17" s="302" t="n">
        <x:f>'Working Capital'!C7</x:f>
        <x:v>311988.27249999996</x:v>
      </x:c>
      <x:c r="D17" s="227" t="str">
        <x:v>Closing inventory at manufacturing cost.</x:v>
      </x:c>
      <x:c r="E17" s="414"/>
      <x:c r="F17" s="505"/>
      <x:c r="G17" s="505"/>
      <x:c r="H17" s="506"/>
      <x:c r="I17" s="506"/>
      <x:c r="J17" s="507"/>
      <x:c r="K17" s="507"/>
      <x:c r="L17" s="507"/>
      <x:c r="M17" s="507"/>
      <x:c r="N17" s="227"/>
      <x:c r="O17" s="227"/>
      <x:c r="P17" s="227"/>
      <x:c r="Q17" s="227"/>
      <x:c r="R17" s="227"/>
      <x:c r="S17" s="227"/>
      <x:c r="T17" s="227"/>
      <x:c r="U17" s="227"/>
      <x:c r="V17" s="227"/>
      <x:c r="W17" s="227"/>
      <x:c r="X17" s="227"/>
      <x:c r="Y17" s="227"/>
      <x:c r="Z17" s="227"/>
    </x:row>
    <x:row r="18">
      <x:c r="A18" s="227" t="str">
        <x:v>Machine WIP / prepayments</x:v>
      </x:c>
      <x:c r="B18" s="302" t="n">
        <x:f>'Working Capital'!B9</x:f>
        <x:v>1107066.6666666667</x:v>
      </x:c>
      <x:c r="C18" s="302" t="n">
        <x:f>'Working Capital'!C9</x:f>
        <x:v>0</x:v>
      </x:c>
      <x:c r="D18" s="227" t="str">
        <x:v>Ordered machines not yet active at the horizon close.</x:v>
      </x:c>
      <x:c r="E18" s="414"/>
      <x:c r="F18" s="505"/>
      <x:c r="G18" s="505"/>
      <x:c r="H18" s="506"/>
      <x:c r="I18" s="506"/>
      <x:c r="J18" s="507"/>
      <x:c r="K18" s="507"/>
      <x:c r="L18" s="507"/>
      <x:c r="M18" s="507"/>
      <x:c r="N18" s="227"/>
      <x:c r="O18" s="227"/>
      <x:c r="P18" s="227"/>
      <x:c r="Q18" s="227"/>
      <x:c r="R18" s="227"/>
      <x:c r="S18" s="227"/>
      <x:c r="T18" s="227"/>
      <x:c r="U18" s="227"/>
      <x:c r="V18" s="227"/>
      <x:c r="W18" s="227"/>
      <x:c r="X18" s="227"/>
      <x:c r="Y18" s="227"/>
      <x:c r="Z18" s="227"/>
    </x:row>
    <x:row r="19">
      <x:c r="A19" s="227" t="str">
        <x:v>Net post-period cash commitments</x:v>
      </x:c>
      <x:c r="B19" s="302" t="n">
        <x:f>'Working Capital'!B15</x:f>
        <x:v>385155.525</x:v>
      </x:c>
      <x:c r="C19" s="302" t="n">
        <x:f>'Working Capital'!C15</x:f>
        <x:v>1115755.0875000001</x:v>
      </x:c>
      <x:c r="D19" s="227" t="str">
        <x:v>Installation + logistics + club obligations less contracted campaign receivable.</x:v>
      </x:c>
      <x:c r="E19" s="414"/>
      <x:c r="F19" s="301"/>
      <x:c r="G19" s="301"/>
      <x:c r="H19" s="302"/>
      <x:c r="I19" s="302"/>
      <x:c r="J19" s="227"/>
      <x:c r="K19" s="227"/>
      <x:c r="L19" s="227"/>
      <x:c r="M19" s="227"/>
      <x:c r="N19" s="227"/>
      <x:c r="O19" s="227"/>
      <x:c r="P19" s="227"/>
      <x:c r="Q19" s="227"/>
      <x:c r="R19" s="227"/>
      <x:c r="S19" s="227"/>
      <x:c r="T19" s="227"/>
      <x:c r="U19" s="227"/>
      <x:c r="V19" s="227"/>
      <x:c r="W19" s="227"/>
      <x:c r="X19" s="227"/>
      <x:c r="Y19" s="227"/>
      <x:c r="Z19" s="227"/>
    </x:row>
    <x:row r="20">
      <x:c r="A20" s="227" t="str">
        <x:v>Liquidity after tax reserve &amp; commitments</x:v>
      </x:c>
      <x:c r="B20" s="302" t="n">
        <x:f>'Working Capital'!B16</x:f>
        <x:v>1869695.1754166665</x:v>
      </x:c>
      <x:c r="C20" s="302" t="n">
        <x:f>'Working Capital'!C16</x:f>
        <x:v>15789145.463382864</x:v>
      </x:c>
      <x:c r="D20" s="227" t="str">
        <x:v>Conservative liquidity view after identified reserves / obligations.</x:v>
      </x:c>
      <x:c r="E20" s="414"/>
      <x:c r="F20" s="516" t="str">
        <x:v>PROFESSIONAL MODEL TREATMENT
• Personnel and operating expenses are explicitly decomposed from the source lean and mature cost envelopes.
• The existing 7% outsourced logistics cost remains active; the €50,838/month internal mature logistics line is therefore not added simultaneously.
• D&amp;A is added as an analytical 60-month straight-line proxy.
• Corporate tax is shown as a 25% positive-EBIT provision / liquidity reserve; actual payment timing remains subject to tax advice.
• VAT/import VAT, additional brand/club royalties and a separate repairs reserve remain visible diligence items rather than invented costs.</x:v>
      </x:c>
      <x:c r="G20" s="516"/>
      <x:c r="H20" s="517"/>
      <x:c r="I20" s="517"/>
      <x:c r="J20" s="518"/>
      <x:c r="K20" s="518"/>
      <x:c r="L20" s="518"/>
      <x:c r="M20" s="518"/>
      <x:c r="N20" s="227"/>
      <x:c r="O20" s="227"/>
      <x:c r="P20" s="227"/>
      <x:c r="Q20" s="227"/>
      <x:c r="R20" s="227"/>
      <x:c r="S20" s="227"/>
      <x:c r="T20" s="227"/>
      <x:c r="U20" s="227"/>
      <x:c r="V20" s="227"/>
      <x:c r="W20" s="227"/>
      <x:c r="X20" s="227"/>
      <x:c r="Y20" s="227"/>
      <x:c r="Z20" s="227"/>
    </x:row>
    <x:row r="21">
      <x:c r="A21" s="227" t="str">
        <x:v>Completed club campaigns</x:v>
      </x:c>
      <x:c r="B21" s="301" t="n">
        <x:f>'Scenario 1 Organic'!Y10</x:f>
        <x:v>5</x:v>
      </x:c>
      <x:c r="C21" s="301" t="n">
        <x:f>'Scenario 2 Fund'!Y10</x:f>
        <x:v>5</x:v>
      </x:c>
      <x:c r="D21" s="227" t="str">
        <x:v>Five completed campaigns inside the 21-month horizon.</x:v>
      </x:c>
      <x:c r="E21" s="414"/>
      <x:c r="F21" s="516"/>
      <x:c r="G21" s="516"/>
      <x:c r="H21" s="517"/>
      <x:c r="I21" s="517"/>
      <x:c r="J21" s="518"/>
      <x:c r="K21" s="519"/>
      <x:c r="L21" s="517"/>
      <x:c r="M21" s="517"/>
      <x:c r="N21" s="227"/>
      <x:c r="O21" s="227"/>
      <x:c r="P21" s="227"/>
      <x:c r="Q21" s="227"/>
      <x:c r="R21" s="227"/>
      <x:c r="S21" s="227"/>
      <x:c r="T21" s="227"/>
      <x:c r="U21" s="227"/>
      <x:c r="V21" s="227"/>
      <x:c r="W21" s="227"/>
      <x:c r="X21" s="227"/>
      <x:c r="Y21" s="227"/>
      <x:c r="Z21" s="227"/>
    </x:row>
    <x:row r="22">
      <x:c r="A22" s="227" t="str">
        <x:v>Club campaign contribution</x:v>
      </x:c>
      <x:c r="B22" s="302" t="n">
        <x:f>'Scenario 1 Organic'!Y11</x:f>
        <x:v>387000</x:v>
      </x:c>
      <x:c r="C22" s="302" t="n">
        <x:f>'Scenario 2 Fund'!Y11</x:f>
        <x:v>387000</x:v>
      </x:c>
      <x:c r="D22" s="227" t="str">
        <x:v>€77.4k contribution per completed 5,000-unit campaign.</x:v>
      </x:c>
      <x:c r="E22" s="414"/>
      <x:c r="F22" s="516"/>
      <x:c r="G22" s="516"/>
      <x:c r="H22" s="517"/>
      <x:c r="I22" s="517"/>
      <x:c r="J22" s="518"/>
      <x:c r="K22" s="519"/>
      <x:c r="L22" s="517"/>
      <x:c r="M22" s="517"/>
      <x:c r="N22" s="227"/>
      <x:c r="O22" s="227"/>
      <x:c r="P22" s="227"/>
      <x:c r="Q22" s="227"/>
      <x:c r="R22" s="227"/>
      <x:c r="S22" s="227"/>
      <x:c r="T22" s="227"/>
      <x:c r="U22" s="227"/>
      <x:c r="V22" s="227"/>
      <x:c r="W22" s="227"/>
      <x:c r="X22" s="227"/>
      <x:c r="Y22" s="227"/>
      <x:c r="Z22" s="227"/>
    </x:row>
    <x:row r="23">
      <x:c r="A23" s="227"/>
      <x:c r="B23" s="303"/>
      <x:c r="C23" s="303"/>
      <x:c r="D23" s="227"/>
      <x:c r="E23" s="414"/>
      <x:c r="F23" s="516"/>
      <x:c r="G23" s="516"/>
      <x:c r="H23" s="517"/>
      <x:c r="I23" s="517"/>
      <x:c r="J23" s="518"/>
      <x:c r="K23" s="519"/>
      <x:c r="L23" s="517"/>
      <x:c r="M23" s="517"/>
      <x:c r="N23" s="227"/>
      <x:c r="O23" s="227"/>
      <x:c r="P23" s="227"/>
      <x:c r="Q23" s="227"/>
      <x:c r="R23" s="227"/>
      <x:c r="S23" s="227"/>
      <x:c r="T23" s="227"/>
      <x:c r="U23" s="227"/>
      <x:c r="V23" s="227"/>
      <x:c r="W23" s="227"/>
      <x:c r="X23" s="227"/>
      <x:c r="Y23" s="227"/>
      <x:c r="Z23" s="227"/>
    </x:row>
    <x:row r="24">
      <x:c r="A24" s="227"/>
      <x:c r="B24" s="227"/>
      <x:c r="C24" s="227"/>
      <x:c r="D24" s="227"/>
      <x:c r="E24" s="414"/>
      <x:c r="F24" s="516"/>
      <x:c r="G24" s="516"/>
      <x:c r="H24" s="517"/>
      <x:c r="I24" s="517"/>
      <x:c r="J24" s="518"/>
      <x:c r="K24" s="519"/>
      <x:c r="L24" s="517"/>
      <x:c r="M24" s="517"/>
      <x:c r="N24" s="227"/>
      <x:c r="O24" s="227"/>
      <x:c r="P24" s="227"/>
      <x:c r="Q24" s="227"/>
      <x:c r="R24" s="227"/>
      <x:c r="S24" s="227"/>
      <x:c r="T24" s="227"/>
      <x:c r="U24" s="227"/>
      <x:c r="V24" s="227"/>
      <x:c r="W24" s="227"/>
      <x:c r="X24" s="227"/>
      <x:c r="Y24" s="227"/>
      <x:c r="Z24" s="227"/>
    </x:row>
    <x:row r="25">
      <x:c r="A25" s="421" t="str">
        <x:v>KEY INVESTOR COMPARISON</x:v>
      </x:c>
      <x:c r="B25" s="421"/>
      <x:c r="C25" s="421"/>
      <x:c r="D25" s="421"/>
      <x:c r="E25" s="227"/>
      <x:c r="F25" s="518"/>
      <x:c r="G25" s="518"/>
      <x:c r="H25" s="518"/>
      <x:c r="I25" s="518"/>
      <x:c r="J25" s="518"/>
      <x:c r="K25" s="519"/>
      <x:c r="L25" s="517"/>
      <x:c r="M25" s="517"/>
      <x:c r="N25" s="227"/>
      <x:c r="O25" s="227"/>
      <x:c r="P25" s="227"/>
      <x:c r="Q25" s="227"/>
      <x:c r="R25" s="227"/>
      <x:c r="S25" s="227"/>
      <x:c r="T25" s="227"/>
      <x:c r="U25" s="227"/>
      <x:c r="V25" s="227"/>
      <x:c r="W25" s="227"/>
      <x:c r="X25" s="227"/>
      <x:c r="Y25" s="227"/>
      <x:c r="Z25" s="227"/>
    </x:row>
    <x:row r="26">
      <x:c r="A26" s="527" t="str">
        <x:v>Metric</x:v>
      </x:c>
      <x:c r="B26" s="527" t="str">
        <x:v>Scenario 1</x:v>
      </x:c>
      <x:c r="C26" s="527" t="str">
        <x:v>Scenario 2</x:v>
      </x:c>
      <x:c r="D26" s="539" t="str">
        <x:v>Difference / reading</x:v>
      </x:c>
      <x:c r="E26" s="227"/>
      <x:c r="F26" s="518"/>
      <x:c r="G26" s="518"/>
      <x:c r="H26" s="518"/>
      <x:c r="I26" s="518"/>
      <x:c r="J26" s="518"/>
      <x:c r="K26" s="519"/>
      <x:c r="L26" s="517"/>
      <x:c r="M26" s="517"/>
      <x:c r="N26" s="227"/>
      <x:c r="O26" s="227"/>
      <x:c r="P26" s="227"/>
      <x:c r="Q26" s="227"/>
      <x:c r="R26" s="227"/>
      <x:c r="S26" s="227"/>
      <x:c r="T26" s="227"/>
      <x:c r="U26" s="227"/>
      <x:c r="V26" s="227"/>
      <x:c r="W26" s="227"/>
      <x:c r="X26" s="227"/>
      <x:c r="Y26" s="227"/>
      <x:c r="Z26" s="227"/>
    </x:row>
    <x:row r="27">
      <x:c r="A27" s="548" t="str">
        <x:v>Active physical machines at close</x:v>
      </x:c>
      <x:c r="B27" s="550" t="n">
        <x:f>'Scenario 1 Organic'!V18</x:f>
        <x:v>402</x:v>
      </x:c>
      <x:c r="C27" s="550" t="n">
        <x:f>'Scenario 2 Fund'!V18</x:f>
        <x:v>1032</x:v>
      </x:c>
      <x:c r="D27" s="553" t="str">
        <x:v>Institutional capital accelerates installed capacity.</x:v>
      </x:c>
      <x:c r="E27" s="227"/>
      <x:c r="F27" s="227"/>
      <x:c r="G27" s="227"/>
      <x:c r="H27" s="227"/>
      <x:c r="I27" s="227"/>
      <x:c r="J27" s="227"/>
      <x:c r="K27" s="414"/>
      <x:c r="L27" s="302"/>
      <x:c r="M27" s="302"/>
      <x:c r="N27" s="227"/>
      <x:c r="O27" s="227"/>
      <x:c r="P27" s="227"/>
      <x:c r="Q27" s="227"/>
      <x:c r="R27" s="227"/>
      <x:c r="S27" s="227"/>
      <x:c r="T27" s="227"/>
      <x:c r="U27" s="227"/>
      <x:c r="V27" s="227"/>
      <x:c r="W27" s="227"/>
      <x:c r="X27" s="227"/>
      <x:c r="Y27" s="227"/>
      <x:c r="Z27" s="227"/>
    </x:row>
    <x:row r="28">
      <x:c r="A28" s="548" t="str">
        <x:v>EBITDA</x:v>
      </x:c>
      <x:c r="B28" s="551" t="n">
        <x:f>'Professional P&amp;L'!B47</x:f>
        <x:v>5324319.825</x:v>
      </x:c>
      <x:c r="C28" s="551" t="n">
        <x:f>'Professional P&amp;L'!C47</x:f>
        <x:v>19653967.340436418</x:v>
      </x:c>
      <x:c r="D28" s="553" t="str">
        <x:v>Scenario 2 includes post-500 OPEX scaling.</x:v>
      </x:c>
      <x:c r="E28" s="227"/>
      <x:c r="F28" s="227"/>
      <x:c r="G28" s="227"/>
      <x:c r="H28" s="227"/>
      <x:c r="I28" s="227"/>
      <x:c r="J28" s="227"/>
      <x:c r="K28" s="414"/>
      <x:c r="L28" s="302"/>
      <x:c r="M28" s="302"/>
      <x:c r="N28" s="227"/>
      <x:c r="O28" s="227"/>
      <x:c r="P28" s="227"/>
      <x:c r="Q28" s="227"/>
      <x:c r="R28" s="227"/>
      <x:c r="S28" s="227"/>
      <x:c r="T28" s="227"/>
      <x:c r="U28" s="227"/>
      <x:c r="V28" s="227"/>
      <x:c r="W28" s="227"/>
      <x:c r="X28" s="227"/>
      <x:c r="Y28" s="227"/>
      <x:c r="Z28" s="227"/>
    </x:row>
    <x:row r="29">
      <x:c r="A29" s="548" t="str">
        <x:v>Net income</x:v>
      </x:c>
      <x:c r="B29" s="551" t="n">
        <x:f>'Professional P&amp;L'!B51</x:f>
        <x:v>3929059.3965277784</x:v>
      </x:c>
      <x:c r="C29" s="551" t="n">
        <x:f>'Professional P&amp;L'!C51</x:f>
        <x:v>14530046.991438424</x:v>
      </x:c>
      <x:c r="D29" s="553" t="str">
        <x:v>After D&amp;A and tax provision.</x:v>
      </x:c>
      <x:c r="E29" s="227"/>
      <x:c r="F29" s="227"/>
      <x:c r="G29" s="227"/>
      <x:c r="H29" s="227"/>
      <x:c r="I29" s="227"/>
      <x:c r="J29" s="227"/>
      <x:c r="K29" s="414"/>
      <x:c r="L29" s="302"/>
      <x:c r="M29" s="302"/>
      <x:c r="N29" s="227"/>
      <x:c r="O29" s="227"/>
      <x:c r="P29" s="227"/>
      <x:c r="Q29" s="227"/>
      <x:c r="R29" s="227"/>
      <x:c r="S29" s="227"/>
      <x:c r="T29" s="227"/>
      <x:c r="U29" s="227"/>
      <x:c r="V29" s="227"/>
      <x:c r="W29" s="227"/>
      <x:c r="X29" s="227"/>
      <x:c r="Y29" s="227"/>
      <x:c r="Z29" s="227"/>
    </x:row>
    <x:row r="30">
      <x:c r="A30" s="548" t="str">
        <x:v>Gross cash</x:v>
      </x:c>
      <x:c r="B30" s="551" t="n">
        <x:f>'Working Capital'!B5</x:f>
        <x:v>3579698.1066666665</x:v>
      </x:c>
      <x:c r="C30" s="551" t="n">
        <x:f>'Working Capital'!C5</x:f>
        <x:v>21763410.488769747</x:v>
      </x:c>
      <x:c r="D30" s="553" t="str">
        <x:v>Before tax reserve / post-period obligations.</x:v>
      </x:c>
      <x:c r="E30" s="227"/>
      <x:c r="F30" s="227"/>
      <x:c r="G30" s="227"/>
      <x:c r="H30" s="227"/>
      <x:c r="I30" s="227"/>
      <x:c r="J30" s="227"/>
      <x:c r="K30" s="414"/>
      <x:c r="L30" s="302"/>
      <x:c r="M30" s="302"/>
      <x:c r="N30" s="227"/>
      <x:c r="O30" s="227"/>
      <x:c r="P30" s="227"/>
      <x:c r="Q30" s="227"/>
      <x:c r="R30" s="227"/>
      <x:c r="S30" s="227"/>
      <x:c r="T30" s="227"/>
      <x:c r="U30" s="227"/>
      <x:c r="V30" s="227"/>
      <x:c r="W30" s="227"/>
      <x:c r="X30" s="227"/>
      <x:c r="Y30" s="227"/>
      <x:c r="Z30" s="227"/>
    </x:row>
    <x:row r="31">
      <x:c r="A31" s="549" t="str">
        <x:v>Liquidity after tax reserve &amp; commitments</x:v>
      </x:c>
      <x:c r="B31" s="552" t="n">
        <x:f>'Working Capital'!B16</x:f>
        <x:v>1869695.1754166665</x:v>
      </x:c>
      <x:c r="C31" s="552" t="n">
        <x:f>'Working Capital'!C16</x:f>
        <x:v>15789145.463382864</x:v>
      </x:c>
      <x:c r="D31" s="549" t="str">
        <x:v>Conservative available liquidity view.</x:v>
      </x:c>
      <x:c r="E31" s="227"/>
      <x:c r="F31" s="227"/>
      <x:c r="G31" s="227"/>
      <x:c r="H31" s="227"/>
      <x:c r="I31" s="227"/>
      <x:c r="J31" s="227"/>
      <x:c r="K31" s="414"/>
      <x:c r="L31" s="302"/>
      <x:c r="M31" s="302"/>
      <x:c r="N31" s="227"/>
      <x:c r="O31" s="227"/>
      <x:c r="P31" s="227"/>
      <x:c r="Q31" s="227"/>
      <x:c r="R31" s="227"/>
      <x:c r="S31" s="227"/>
      <x:c r="T31" s="227"/>
      <x:c r="U31" s="227"/>
      <x:c r="V31" s="227"/>
      <x:c r="W31" s="227"/>
      <x:c r="X31" s="227"/>
      <x:c r="Y31" s="227"/>
      <x:c r="Z31" s="227"/>
    </x:row>
    <x:row r="32">
      <x:c r="A32" s="227"/>
      <x:c r="B32" s="227"/>
      <x:c r="C32" s="227"/>
      <x:c r="D32" s="227"/>
      <x:c r="E32" s="227"/>
      <x:c r="F32" s="227"/>
      <x:c r="G32" s="227"/>
      <x:c r="H32" s="227"/>
      <x:c r="I32" s="227"/>
      <x:c r="J32" s="227"/>
      <x:c r="K32" s="414"/>
      <x:c r="L32" s="302"/>
      <x:c r="M32" s="302"/>
      <x:c r="N32" s="227"/>
      <x:c r="O32" s="227"/>
      <x:c r="P32" s="227"/>
      <x:c r="Q32" s="227"/>
      <x:c r="R32" s="227"/>
      <x:c r="S32" s="227"/>
      <x:c r="T32" s="227"/>
      <x:c r="U32" s="227"/>
      <x:c r="V32" s="227"/>
      <x:c r="W32" s="227"/>
      <x:c r="X32" s="227"/>
      <x:c r="Y32" s="227"/>
      <x:c r="Z32" s="227"/>
    </x:row>
    <x:row r="33">
      <x:c r="A33" s="227"/>
      <x:c r="B33" s="227"/>
      <x:c r="C33" s="227"/>
      <x:c r="D33" s="227"/>
      <x:c r="E33" s="227"/>
      <x:c r="F33" s="227"/>
      <x:c r="G33" s="227"/>
      <x:c r="H33" s="227"/>
      <x:c r="I33" s="227"/>
      <x:c r="J33" s="227"/>
      <x:c r="K33" s="414"/>
      <x:c r="L33" s="302"/>
      <x:c r="M33" s="302"/>
      <x:c r="N33" s="227"/>
      <x:c r="O33" s="227"/>
      <x:c r="P33" s="227"/>
      <x:c r="Q33" s="227"/>
      <x:c r="R33" s="227"/>
      <x:c r="S33" s="227"/>
      <x:c r="T33" s="227"/>
      <x:c r="U33" s="227"/>
      <x:c r="V33" s="227"/>
      <x:c r="W33" s="227"/>
      <x:c r="X33" s="227"/>
      <x:c r="Y33" s="227"/>
      <x:c r="Z33" s="227"/>
    </x:row>
    <x:row r="34">
      <x:c r="A34" s="227"/>
      <x:c r="B34" s="227"/>
      <x:c r="C34" s="227"/>
      <x:c r="D34" s="227"/>
      <x:c r="E34" s="227"/>
      <x:c r="F34" s="227"/>
      <x:c r="G34" s="227"/>
      <x:c r="H34" s="227"/>
      <x:c r="I34" s="227"/>
      <x:c r="J34" s="227"/>
      <x:c r="K34" s="414"/>
      <x:c r="L34" s="302"/>
      <x:c r="M34" s="302"/>
      <x:c r="N34" s="227"/>
      <x:c r="O34" s="227"/>
      <x:c r="P34" s="227"/>
      <x:c r="Q34" s="227"/>
      <x:c r="R34" s="227"/>
      <x:c r="S34" s="227"/>
      <x:c r="T34" s="227"/>
      <x:c r="U34" s="227"/>
      <x:c r="V34" s="227"/>
      <x:c r="W34" s="227"/>
      <x:c r="X34" s="227"/>
      <x:c r="Y34" s="227"/>
      <x:c r="Z34" s="227"/>
    </x:row>
    <x:row r="35">
      <x:c r="A35" s="227"/>
      <x:c r="B35" s="227"/>
      <x:c r="C35" s="227"/>
      <x:c r="D35" s="227"/>
      <x:c r="E35" s="227"/>
      <x:c r="F35" s="227"/>
      <x:c r="G35" s="227"/>
      <x:c r="H35" s="227"/>
      <x:c r="I35" s="227"/>
      <x:c r="J35" s="227"/>
      <x:c r="K35" s="414"/>
      <x:c r="L35" s="302"/>
      <x:c r="M35" s="302"/>
      <x:c r="N35" s="227"/>
      <x:c r="O35" s="227"/>
      <x:c r="P35" s="227"/>
      <x:c r="Q35" s="227"/>
      <x:c r="R35" s="227"/>
      <x:c r="S35" s="227"/>
      <x:c r="T35" s="227"/>
      <x:c r="U35" s="227"/>
      <x:c r="V35" s="227"/>
      <x:c r="W35" s="227"/>
      <x:c r="X35" s="227"/>
      <x:c r="Y35" s="227"/>
      <x:c r="Z35" s="227"/>
    </x:row>
    <x:row r="36">
      <x:c r="A36" s="227"/>
      <x:c r="B36" s="227"/>
      <x:c r="C36" s="227"/>
      <x:c r="D36" s="227"/>
      <x:c r="E36" s="227"/>
      <x:c r="F36" s="227"/>
      <x:c r="G36" s="227"/>
      <x:c r="H36" s="227"/>
      <x:c r="I36" s="227"/>
      <x:c r="J36" s="227"/>
      <x:c r="K36" s="414"/>
      <x:c r="L36" s="302"/>
      <x:c r="M36" s="302"/>
      <x:c r="N36" s="227"/>
      <x:c r="O36" s="227"/>
      <x:c r="P36" s="227"/>
      <x:c r="Q36" s="227"/>
      <x:c r="R36" s="227"/>
      <x:c r="S36" s="227"/>
      <x:c r="T36" s="227"/>
      <x:c r="U36" s="227"/>
      <x:c r="V36" s="227"/>
      <x:c r="W36" s="227"/>
      <x:c r="X36" s="227"/>
      <x:c r="Y36" s="227"/>
      <x:c r="Z36" s="227"/>
    </x:row>
    <x:row r="37">
      <x:c r="A37" s="227"/>
      <x:c r="B37" s="227"/>
      <x:c r="C37" s="227"/>
      <x:c r="D37" s="227"/>
      <x:c r="E37" s="227"/>
      <x:c r="F37" s="227"/>
      <x:c r="G37" s="227"/>
      <x:c r="H37" s="227"/>
      <x:c r="I37" s="227"/>
      <x:c r="J37" s="227"/>
      <x:c r="K37" s="414"/>
      <x:c r="L37" s="302"/>
      <x:c r="M37" s="302"/>
      <x:c r="N37" s="227"/>
      <x:c r="O37" s="227"/>
      <x:c r="P37" s="227"/>
      <x:c r="Q37" s="227"/>
      <x:c r="R37" s="227"/>
      <x:c r="S37" s="227"/>
      <x:c r="T37" s="227"/>
      <x:c r="U37" s="227"/>
      <x:c r="V37" s="227"/>
      <x:c r="W37" s="227"/>
      <x:c r="X37" s="227"/>
      <x:c r="Y37" s="227"/>
      <x:c r="Z37" s="227"/>
    </x:row>
    <x:row r="38">
      <x:c r="A38" s="227"/>
      <x:c r="B38" s="227"/>
      <x:c r="C38" s="227"/>
      <x:c r="D38" s="227"/>
      <x:c r="E38" s="227"/>
      <x:c r="F38" s="227"/>
      <x:c r="G38" s="227"/>
      <x:c r="H38" s="227"/>
      <x:c r="I38" s="227"/>
      <x:c r="J38" s="227"/>
      <x:c r="K38" s="414"/>
      <x:c r="L38" s="302"/>
      <x:c r="M38" s="302"/>
      <x:c r="N38" s="227"/>
      <x:c r="O38" s="227"/>
      <x:c r="P38" s="227"/>
      <x:c r="Q38" s="227"/>
      <x:c r="R38" s="227"/>
      <x:c r="S38" s="227"/>
      <x:c r="T38" s="227"/>
      <x:c r="U38" s="227"/>
      <x:c r="V38" s="227"/>
      <x:c r="W38" s="227"/>
      <x:c r="X38" s="227"/>
      <x:c r="Y38" s="227"/>
      <x:c r="Z38" s="227"/>
    </x:row>
    <x:row r="39">
      <x:c r="A39" s="227"/>
      <x:c r="B39" s="227"/>
      <x:c r="C39" s="227"/>
      <x:c r="D39" s="227"/>
      <x:c r="E39" s="227"/>
      <x:c r="F39" s="227"/>
      <x:c r="G39" s="227"/>
      <x:c r="H39" s="227"/>
      <x:c r="I39" s="227"/>
      <x:c r="J39" s="227"/>
      <x:c r="K39" s="414"/>
      <x:c r="L39" s="302"/>
      <x:c r="M39" s="302"/>
      <x:c r="N39" s="227"/>
      <x:c r="O39" s="227"/>
      <x:c r="P39" s="227"/>
      <x:c r="Q39" s="227"/>
      <x:c r="R39" s="227"/>
      <x:c r="S39" s="227"/>
      <x:c r="T39" s="227"/>
      <x:c r="U39" s="227"/>
      <x:c r="V39" s="227"/>
      <x:c r="W39" s="227"/>
      <x:c r="X39" s="227"/>
      <x:c r="Y39" s="227"/>
      <x:c r="Z39" s="227"/>
    </x:row>
    <x:row r="40">
      <x:c r="A40" s="227"/>
      <x:c r="B40" s="227"/>
      <x:c r="C40" s="227"/>
      <x:c r="D40" s="227"/>
      <x:c r="E40" s="227"/>
      <x:c r="F40" s="227"/>
      <x:c r="G40" s="227"/>
      <x:c r="H40" s="227"/>
      <x:c r="I40" s="227"/>
      <x:c r="J40" s="227"/>
      <x:c r="K40" s="414"/>
      <x:c r="L40" s="302"/>
      <x:c r="M40" s="302"/>
      <x:c r="N40" s="227"/>
      <x:c r="O40" s="227"/>
      <x:c r="P40" s="227"/>
      <x:c r="Q40" s="227"/>
      <x:c r="R40" s="227"/>
      <x:c r="S40" s="227"/>
      <x:c r="T40" s="227"/>
      <x:c r="U40" s="227"/>
      <x:c r="V40" s="227"/>
      <x:c r="W40" s="227"/>
      <x:c r="X40" s="227"/>
      <x:c r="Y40" s="227"/>
      <x:c r="Z40" s="227"/>
    </x:row>
    <x:row r="41">
      <x:c r="A41" s="227"/>
      <x:c r="B41" s="227"/>
      <x:c r="C41" s="227"/>
      <x:c r="D41" s="227"/>
      <x:c r="E41" s="227"/>
      <x:c r="F41" s="227"/>
      <x:c r="G41" s="227"/>
      <x:c r="H41" s="227"/>
      <x:c r="I41" s="227"/>
      <x:c r="J41" s="227"/>
      <x:c r="K41" s="414"/>
      <x:c r="L41" s="302"/>
      <x:c r="M41" s="302"/>
      <x:c r="N41" s="227"/>
      <x:c r="O41" s="227"/>
      <x:c r="P41" s="227"/>
      <x:c r="Q41" s="227"/>
      <x:c r="R41" s="227"/>
      <x:c r="S41" s="227"/>
      <x:c r="T41" s="227"/>
      <x:c r="U41" s="227"/>
      <x:c r="V41" s="227"/>
      <x:c r="W41" s="227"/>
      <x:c r="X41" s="227"/>
      <x:c r="Y41" s="227"/>
      <x:c r="Z41" s="227"/>
    </x:row>
    <x:row r="42">
      <x:c r="A42" s="227"/>
      <x:c r="B42" s="227"/>
      <x:c r="C42" s="227"/>
      <x:c r="D42" s="227"/>
      <x:c r="E42" s="227"/>
      <x:c r="F42" s="227"/>
      <x:c r="G42" s="227"/>
      <x:c r="H42" s="227"/>
      <x:c r="I42" s="227"/>
      <x:c r="J42" s="227"/>
      <x:c r="K42" s="227"/>
      <x:c r="L42" s="227"/>
      <x:c r="M42" s="227"/>
      <x:c r="N42" s="227"/>
      <x:c r="O42" s="227"/>
      <x:c r="P42" s="227"/>
      <x:c r="Q42" s="227"/>
      <x:c r="R42" s="227"/>
      <x:c r="S42" s="227"/>
      <x:c r="T42" s="227"/>
      <x:c r="U42" s="227"/>
      <x:c r="V42" s="227"/>
      <x:c r="W42" s="227"/>
      <x:c r="X42" s="227"/>
      <x:c r="Y42" s="227"/>
      <x:c r="Z42" s="227"/>
    </x:row>
    <x:row r="43">
      <x:c r="A43" s="227"/>
      <x:c r="B43" s="227"/>
      <x:c r="C43" s="227"/>
      <x:c r="D43" s="227"/>
      <x:c r="E43" s="227"/>
      <x:c r="F43" s="227"/>
      <x:c r="G43" s="227"/>
      <x:c r="H43" s="227"/>
      <x:c r="I43" s="227"/>
      <x:c r="J43" s="227"/>
      <x:c r="K43" s="227"/>
      <x:c r="L43" s="227"/>
      <x:c r="M43" s="227"/>
      <x:c r="N43" s="227"/>
      <x:c r="O43" s="227"/>
      <x:c r="P43" s="227"/>
      <x:c r="Q43" s="227"/>
      <x:c r="R43" s="227"/>
      <x:c r="S43" s="227"/>
      <x:c r="T43" s="227"/>
      <x:c r="U43" s="227"/>
      <x:c r="V43" s="227"/>
      <x:c r="W43" s="227"/>
      <x:c r="X43" s="227"/>
      <x:c r="Y43" s="227"/>
      <x:c r="Z43" s="227"/>
    </x:row>
    <x:row r="44">
      <x:c r="A44" s="227"/>
      <x:c r="B44" s="227"/>
      <x:c r="C44" s="227"/>
      <x:c r="D44" s="227"/>
      <x:c r="E44" s="227"/>
      <x:c r="F44" s="227"/>
      <x:c r="G44" s="227"/>
      <x:c r="H44" s="227"/>
      <x:c r="I44" s="227"/>
      <x:c r="J44" s="227"/>
      <x:c r="K44" s="227"/>
      <x:c r="L44" s="227"/>
      <x:c r="M44" s="227"/>
      <x:c r="N44" s="227"/>
      <x:c r="O44" s="227"/>
      <x:c r="P44" s="227"/>
      <x:c r="Q44" s="227"/>
      <x:c r="R44" s="227"/>
      <x:c r="S44" s="227"/>
      <x:c r="T44" s="227"/>
      <x:c r="U44" s="227"/>
      <x:c r="V44" s="227"/>
      <x:c r="W44" s="227"/>
      <x:c r="X44" s="227"/>
      <x:c r="Y44" s="227"/>
      <x:c r="Z44" s="227"/>
    </x:row>
    <x:row r="45">
      <x:c r="A45" s="227"/>
      <x:c r="B45" s="227"/>
      <x:c r="C45" s="227"/>
      <x:c r="D45" s="227"/>
      <x:c r="E45" s="227"/>
      <x:c r="F45" s="227"/>
      <x:c r="G45" s="227"/>
      <x:c r="H45" s="227"/>
      <x:c r="I45" s="227"/>
      <x:c r="J45" s="227"/>
      <x:c r="K45" s="227"/>
      <x:c r="L45" s="227"/>
      <x:c r="M45" s="227"/>
      <x:c r="N45" s="227"/>
      <x:c r="O45" s="227"/>
      <x:c r="P45" s="227"/>
      <x:c r="Q45" s="227"/>
      <x:c r="R45" s="227"/>
      <x:c r="S45" s="227"/>
      <x:c r="T45" s="227"/>
      <x:c r="U45" s="227"/>
      <x:c r="V45" s="227"/>
      <x:c r="W45" s="227"/>
      <x:c r="X45" s="227"/>
      <x:c r="Y45" s="227"/>
      <x:c r="Z45" s="227"/>
    </x:row>
    <x:row r="46">
      <x:c r="A46" s="227"/>
      <x:c r="B46" s="227"/>
      <x:c r="C46" s="227"/>
      <x:c r="D46" s="227"/>
      <x:c r="E46" s="227"/>
      <x:c r="F46" s="227"/>
      <x:c r="G46" s="227"/>
      <x:c r="H46" s="227"/>
      <x:c r="I46" s="227"/>
      <x:c r="J46" s="227"/>
      <x:c r="K46" s="227"/>
      <x:c r="L46" s="227"/>
      <x:c r="M46" s="227"/>
      <x:c r="N46" s="227"/>
      <x:c r="O46" s="227"/>
      <x:c r="P46" s="227"/>
      <x:c r="Q46" s="227"/>
      <x:c r="R46" s="227"/>
      <x:c r="S46" s="227"/>
      <x:c r="T46" s="227"/>
      <x:c r="U46" s="227"/>
      <x:c r="V46" s="227"/>
      <x:c r="W46" s="227"/>
      <x:c r="X46" s="227"/>
      <x:c r="Y46" s="227"/>
      <x:c r="Z46" s="227"/>
    </x:row>
    <x:row r="47">
      <x:c r="A47" s="227"/>
      <x:c r="B47" s="227"/>
      <x:c r="C47" s="227"/>
      <x:c r="D47" s="227"/>
      <x:c r="E47" s="227"/>
      <x:c r="F47" s="227"/>
      <x:c r="G47" s="227"/>
      <x:c r="H47" s="227"/>
      <x:c r="I47" s="227"/>
      <x:c r="J47" s="227"/>
      <x:c r="K47" s="227"/>
      <x:c r="L47" s="227"/>
      <x:c r="M47" s="227"/>
      <x:c r="N47" s="227"/>
      <x:c r="O47" s="227"/>
      <x:c r="P47" s="227"/>
      <x:c r="Q47" s="227"/>
      <x:c r="R47" s="227"/>
      <x:c r="S47" s="227"/>
      <x:c r="T47" s="227"/>
      <x:c r="U47" s="227"/>
      <x:c r="V47" s="227"/>
      <x:c r="W47" s="227"/>
      <x:c r="X47" s="227"/>
      <x:c r="Y47" s="227"/>
      <x:c r="Z47" s="227"/>
    </x:row>
    <x:row r="48">
      <x:c r="A48" s="227"/>
      <x:c r="B48" s="227"/>
      <x:c r="C48" s="227"/>
      <x:c r="D48" s="227"/>
      <x:c r="E48" s="227"/>
      <x:c r="F48" s="227"/>
      <x:c r="G48" s="227"/>
      <x:c r="H48" s="227"/>
      <x:c r="I48" s="227"/>
      <x:c r="J48" s="227"/>
      <x:c r="K48" s="227"/>
      <x:c r="L48" s="227"/>
      <x:c r="M48" s="227"/>
      <x:c r="N48" s="227"/>
      <x:c r="O48" s="227"/>
      <x:c r="P48" s="227"/>
      <x:c r="Q48" s="227"/>
      <x:c r="R48" s="227"/>
      <x:c r="S48" s="227"/>
      <x:c r="T48" s="227"/>
      <x:c r="U48" s="227"/>
      <x:c r="V48" s="227"/>
      <x:c r="W48" s="227"/>
      <x:c r="X48" s="227"/>
      <x:c r="Y48" s="227"/>
      <x:c r="Z48" s="227"/>
    </x:row>
    <x:row r="49">
      <x:c r="A49" s="227"/>
      <x:c r="B49" s="227"/>
      <x:c r="C49" s="227"/>
      <x:c r="D49" s="227"/>
      <x:c r="E49" s="227"/>
      <x:c r="F49" s="227"/>
      <x:c r="G49" s="227"/>
      <x:c r="H49" s="227"/>
      <x:c r="I49" s="227"/>
      <x:c r="J49" s="227"/>
      <x:c r="K49" s="227"/>
      <x:c r="L49" s="227"/>
      <x:c r="M49" s="227"/>
      <x:c r="N49" s="227"/>
      <x:c r="O49" s="227"/>
      <x:c r="P49" s="227"/>
      <x:c r="Q49" s="227"/>
      <x:c r="R49" s="227"/>
      <x:c r="S49" s="227"/>
      <x:c r="T49" s="227"/>
      <x:c r="U49" s="227"/>
      <x:c r="V49" s="227"/>
      <x:c r="W49" s="227"/>
      <x:c r="X49" s="227"/>
      <x:c r="Y49" s="227"/>
      <x:c r="Z49" s="227"/>
    </x:row>
    <x:row r="50">
      <x:c r="A50" s="227"/>
      <x:c r="B50" s="227"/>
      <x:c r="C50" s="227"/>
      <x:c r="D50" s="227"/>
      <x:c r="E50" s="227"/>
      <x:c r="F50" s="227"/>
      <x:c r="G50" s="227"/>
      <x:c r="H50" s="227"/>
      <x:c r="I50" s="227"/>
      <x:c r="J50" s="227"/>
      <x:c r="K50" s="227"/>
      <x:c r="L50" s="227"/>
      <x:c r="M50" s="227"/>
      <x:c r="N50" s="227"/>
      <x:c r="O50" s="227"/>
      <x:c r="P50" s="227"/>
      <x:c r="Q50" s="227"/>
      <x:c r="R50" s="227"/>
      <x:c r="S50" s="227"/>
      <x:c r="T50" s="227"/>
      <x:c r="U50" s="227"/>
      <x:c r="V50" s="227"/>
      <x:c r="W50" s="227"/>
      <x:c r="X50" s="227"/>
      <x:c r="Y50" s="227"/>
      <x:c r="Z50" s="227"/>
    </x:row>
    <x:row r="51">
      <x:c r="A51" s="227"/>
      <x:c r="B51" s="227"/>
      <x:c r="C51" s="227"/>
      <x:c r="D51" s="227"/>
      <x:c r="E51" s="227"/>
      <x:c r="F51" s="227"/>
      <x:c r="G51" s="227"/>
      <x:c r="H51" s="227"/>
      <x:c r="I51" s="227"/>
      <x:c r="J51" s="227"/>
      <x:c r="K51" s="227"/>
      <x:c r="L51" s="227"/>
      <x:c r="M51" s="227"/>
      <x:c r="N51" s="227"/>
      <x:c r="O51" s="227"/>
      <x:c r="P51" s="227"/>
      <x:c r="Q51" s="227"/>
      <x:c r="R51" s="227"/>
      <x:c r="S51" s="227"/>
      <x:c r="T51" s="227"/>
      <x:c r="U51" s="227"/>
      <x:c r="V51" s="227"/>
      <x:c r="W51" s="227"/>
      <x:c r="X51" s="227"/>
      <x:c r="Y51" s="227"/>
      <x:c r="Z51" s="227"/>
    </x:row>
    <x:row r="52">
      <x:c r="A52" s="227"/>
      <x:c r="B52" s="227"/>
      <x:c r="C52" s="227"/>
      <x:c r="D52" s="227"/>
      <x:c r="E52" s="227"/>
      <x:c r="F52" s="227"/>
      <x:c r="G52" s="227"/>
      <x:c r="H52" s="227"/>
      <x:c r="I52" s="227"/>
      <x:c r="J52" s="227"/>
      <x:c r="K52" s="227"/>
      <x:c r="L52" s="227"/>
      <x:c r="M52" s="227"/>
      <x:c r="N52" s="227"/>
      <x:c r="O52" s="227"/>
      <x:c r="P52" s="227"/>
      <x:c r="Q52" s="227"/>
      <x:c r="R52" s="227"/>
      <x:c r="S52" s="227"/>
      <x:c r="T52" s="227"/>
      <x:c r="U52" s="227"/>
      <x:c r="V52" s="227"/>
      <x:c r="W52" s="227"/>
      <x:c r="X52" s="227"/>
      <x:c r="Y52" s="227"/>
      <x:c r="Z52" s="227"/>
    </x:row>
    <x:row r="53">
      <x:c r="A53" s="227"/>
      <x:c r="B53" s="227"/>
      <x:c r="C53" s="227"/>
      <x:c r="D53" s="227"/>
      <x:c r="E53" s="227"/>
      <x:c r="F53" s="227"/>
      <x:c r="G53" s="227"/>
      <x:c r="H53" s="227"/>
      <x:c r="I53" s="227"/>
      <x:c r="J53" s="227"/>
      <x:c r="K53" s="227"/>
      <x:c r="L53" s="227"/>
      <x:c r="M53" s="227"/>
      <x:c r="N53" s="227"/>
      <x:c r="O53" s="227"/>
      <x:c r="P53" s="227"/>
      <x:c r="Q53" s="227"/>
      <x:c r="R53" s="227"/>
      <x:c r="S53" s="227"/>
      <x:c r="T53" s="227"/>
      <x:c r="U53" s="227"/>
      <x:c r="V53" s="227"/>
      <x:c r="W53" s="227"/>
      <x:c r="X53" s="227"/>
      <x:c r="Y53" s="227"/>
      <x:c r="Z53" s="227"/>
    </x:row>
    <x:row r="54">
      <x:c r="A54" s="227"/>
      <x:c r="B54" s="227"/>
      <x:c r="C54" s="227"/>
      <x:c r="D54" s="227"/>
      <x:c r="E54" s="227"/>
      <x:c r="F54" s="227"/>
      <x:c r="G54" s="227"/>
      <x:c r="H54" s="227"/>
      <x:c r="I54" s="227"/>
      <x:c r="J54" s="227"/>
      <x:c r="K54" s="227"/>
      <x:c r="L54" s="227"/>
      <x:c r="M54" s="227"/>
      <x:c r="N54" s="227"/>
      <x:c r="O54" s="227"/>
      <x:c r="P54" s="227"/>
      <x:c r="Q54" s="227"/>
      <x:c r="R54" s="227"/>
      <x:c r="S54" s="227"/>
      <x:c r="T54" s="227"/>
      <x:c r="U54" s="227"/>
      <x:c r="V54" s="227"/>
      <x:c r="W54" s="227"/>
      <x:c r="X54" s="227"/>
      <x:c r="Y54" s="227"/>
      <x:c r="Z54" s="227"/>
    </x:row>
    <x:row r="55">
      <x:c r="A55" s="227"/>
      <x:c r="B55" s="227"/>
      <x:c r="C55" s="227"/>
      <x:c r="D55" s="227"/>
      <x:c r="E55" s="227"/>
      <x:c r="F55" s="227"/>
      <x:c r="G55" s="227"/>
      <x:c r="H55" s="227"/>
      <x:c r="I55" s="227"/>
      <x:c r="J55" s="227"/>
      <x:c r="K55" s="227"/>
      <x:c r="L55" s="227"/>
      <x:c r="M55" s="227"/>
      <x:c r="N55" s="227"/>
      <x:c r="O55" s="227"/>
      <x:c r="P55" s="227"/>
      <x:c r="Q55" s="227"/>
      <x:c r="R55" s="227"/>
      <x:c r="S55" s="227"/>
      <x:c r="T55" s="227"/>
      <x:c r="U55" s="227"/>
      <x:c r="V55" s="227"/>
      <x:c r="W55" s="227"/>
      <x:c r="X55" s="227"/>
      <x:c r="Y55" s="227"/>
      <x:c r="Z55" s="227"/>
    </x:row>
    <x:row r="56">
      <x:c r="A56" s="227"/>
      <x:c r="B56" s="227"/>
      <x:c r="C56" s="227"/>
      <x:c r="D56" s="227"/>
      <x:c r="E56" s="227"/>
      <x:c r="F56" s="227"/>
      <x:c r="G56" s="227"/>
      <x:c r="H56" s="227"/>
      <x:c r="I56" s="227"/>
      <x:c r="J56" s="227"/>
      <x:c r="K56" s="227"/>
      <x:c r="L56" s="227"/>
      <x:c r="M56" s="227"/>
      <x:c r="N56" s="227"/>
      <x:c r="O56" s="227"/>
      <x:c r="P56" s="227"/>
      <x:c r="Q56" s="227"/>
      <x:c r="R56" s="227"/>
      <x:c r="S56" s="227"/>
      <x:c r="T56" s="227"/>
      <x:c r="U56" s="227"/>
      <x:c r="V56" s="227"/>
      <x:c r="W56" s="227"/>
      <x:c r="X56" s="227"/>
      <x:c r="Y56" s="227"/>
      <x:c r="Z56" s="227"/>
    </x:row>
    <x:row r="57">
      <x:c r="A57" s="227"/>
      <x:c r="B57" s="227"/>
      <x:c r="C57" s="227"/>
      <x:c r="D57" s="227"/>
      <x:c r="E57" s="227"/>
      <x:c r="F57" s="227"/>
      <x:c r="G57" s="227"/>
      <x:c r="H57" s="227"/>
      <x:c r="I57" s="227"/>
      <x:c r="J57" s="227"/>
      <x:c r="K57" s="227"/>
      <x:c r="L57" s="227"/>
      <x:c r="M57" s="227"/>
      <x:c r="N57" s="227"/>
      <x:c r="O57" s="227"/>
      <x:c r="P57" s="227"/>
      <x:c r="Q57" s="227"/>
      <x:c r="R57" s="227"/>
      <x:c r="S57" s="227"/>
      <x:c r="T57" s="227"/>
      <x:c r="U57" s="227"/>
      <x:c r="V57" s="227"/>
      <x:c r="W57" s="227"/>
      <x:c r="X57" s="227"/>
      <x:c r="Y57" s="227"/>
      <x:c r="Z57" s="227"/>
    </x:row>
    <x:row r="58">
      <x:c r="A58" s="227"/>
      <x:c r="B58" s="227"/>
      <x:c r="C58" s="227"/>
      <x:c r="D58" s="227"/>
      <x:c r="E58" s="227"/>
      <x:c r="F58" s="227"/>
      <x:c r="G58" s="227"/>
      <x:c r="H58" s="227"/>
      <x:c r="I58" s="227"/>
      <x:c r="J58" s="227"/>
      <x:c r="K58" s="227"/>
      <x:c r="L58" s="227"/>
      <x:c r="M58" s="227"/>
      <x:c r="N58" s="227"/>
      <x:c r="O58" s="227"/>
      <x:c r="P58" s="227"/>
      <x:c r="Q58" s="227"/>
      <x:c r="R58" s="227"/>
      <x:c r="S58" s="227"/>
      <x:c r="T58" s="227"/>
      <x:c r="U58" s="227"/>
      <x:c r="V58" s="227"/>
      <x:c r="W58" s="227"/>
      <x:c r="X58" s="227"/>
      <x:c r="Y58" s="227"/>
      <x:c r="Z58" s="227"/>
    </x:row>
    <x:row r="59">
      <x:c r="A59" s="227"/>
      <x:c r="B59" s="227"/>
      <x:c r="C59" s="227"/>
      <x:c r="D59" s="227"/>
      <x:c r="E59" s="227"/>
      <x:c r="F59" s="227"/>
      <x:c r="G59" s="227"/>
      <x:c r="H59" s="227"/>
      <x:c r="I59" s="227"/>
      <x:c r="J59" s="227"/>
      <x:c r="K59" s="227"/>
      <x:c r="L59" s="227"/>
      <x:c r="M59" s="227"/>
      <x:c r="N59" s="227"/>
      <x:c r="O59" s="227"/>
      <x:c r="P59" s="227"/>
      <x:c r="Q59" s="227"/>
      <x:c r="R59" s="227"/>
      <x:c r="S59" s="227"/>
      <x:c r="T59" s="227"/>
      <x:c r="U59" s="227"/>
      <x:c r="V59" s="227"/>
      <x:c r="W59" s="227"/>
      <x:c r="X59" s="227"/>
      <x:c r="Y59" s="227"/>
      <x:c r="Z59" s="227"/>
    </x:row>
    <x:row r="60">
      <x:c r="A60" s="227"/>
      <x:c r="B60" s="227"/>
      <x:c r="C60" s="227"/>
      <x:c r="D60" s="227"/>
      <x:c r="E60" s="227"/>
      <x:c r="F60" s="227"/>
      <x:c r="G60" s="227"/>
      <x:c r="H60" s="227"/>
      <x:c r="I60" s="227"/>
      <x:c r="J60" s="227"/>
      <x:c r="K60" s="227"/>
      <x:c r="L60" s="227"/>
      <x:c r="M60" s="227"/>
      <x:c r="N60" s="227"/>
      <x:c r="O60" s="227"/>
      <x:c r="P60" s="227"/>
      <x:c r="Q60" s="227"/>
      <x:c r="R60" s="227"/>
      <x:c r="S60" s="227"/>
      <x:c r="T60" s="227"/>
      <x:c r="U60" s="227"/>
      <x:c r="V60" s="227"/>
      <x:c r="W60" s="227"/>
      <x:c r="X60" s="227"/>
      <x:c r="Y60" s="227"/>
      <x:c r="Z60" s="227"/>
    </x:row>
    <x:row r="61">
      <x:c r="A61" s="227"/>
      <x:c r="B61" s="227"/>
      <x:c r="C61" s="227"/>
      <x:c r="D61" s="227"/>
      <x:c r="E61" s="227"/>
      <x:c r="F61" s="227"/>
      <x:c r="G61" s="227"/>
      <x:c r="H61" s="227"/>
      <x:c r="I61" s="227"/>
      <x:c r="J61" s="227"/>
      <x:c r="K61" s="227"/>
      <x:c r="L61" s="227"/>
      <x:c r="M61" s="227"/>
      <x:c r="N61" s="227"/>
      <x:c r="O61" s="227"/>
      <x:c r="P61" s="227"/>
      <x:c r="Q61" s="227"/>
      <x:c r="R61" s="227"/>
      <x:c r="S61" s="227"/>
      <x:c r="T61" s="227"/>
      <x:c r="U61" s="227"/>
      <x:c r="V61" s="227"/>
      <x:c r="W61" s="227"/>
      <x:c r="X61" s="227"/>
      <x:c r="Y61" s="227"/>
      <x:c r="Z61" s="227"/>
    </x:row>
    <x:row r="62">
      <x:c r="A62" s="227"/>
      <x:c r="B62" s="227"/>
      <x:c r="C62" s="227"/>
      <x:c r="D62" s="227"/>
      <x:c r="E62" s="227"/>
      <x:c r="F62" s="227"/>
      <x:c r="G62" s="227"/>
      <x:c r="H62" s="227"/>
      <x:c r="I62" s="227"/>
      <x:c r="J62" s="227"/>
      <x:c r="K62" s="227"/>
      <x:c r="L62" s="227"/>
      <x:c r="M62" s="227"/>
      <x:c r="N62" s="227"/>
      <x:c r="O62" s="227"/>
      <x:c r="P62" s="227"/>
      <x:c r="Q62" s="227"/>
      <x:c r="R62" s="227"/>
      <x:c r="S62" s="227"/>
      <x:c r="T62" s="227"/>
      <x:c r="U62" s="227"/>
      <x:c r="V62" s="227"/>
      <x:c r="W62" s="227"/>
      <x:c r="X62" s="227"/>
      <x:c r="Y62" s="227"/>
      <x:c r="Z62" s="227"/>
    </x:row>
    <x:row r="63">
      <x:c r="A63" s="227"/>
      <x:c r="B63" s="227"/>
      <x:c r="C63" s="227"/>
      <x:c r="D63" s="227"/>
      <x:c r="E63" s="227"/>
      <x:c r="F63" s="227"/>
      <x:c r="G63" s="227"/>
      <x:c r="H63" s="227"/>
      <x:c r="I63" s="227"/>
      <x:c r="J63" s="227"/>
      <x:c r="K63" s="227"/>
      <x:c r="L63" s="227"/>
      <x:c r="M63" s="227"/>
      <x:c r="N63" s="227"/>
      <x:c r="O63" s="227"/>
      <x:c r="P63" s="227"/>
      <x:c r="Q63" s="227"/>
      <x:c r="R63" s="227"/>
      <x:c r="S63" s="227"/>
      <x:c r="T63" s="227"/>
      <x:c r="U63" s="227"/>
      <x:c r="V63" s="227"/>
      <x:c r="W63" s="227"/>
      <x:c r="X63" s="227"/>
      <x:c r="Y63" s="227"/>
      <x:c r="Z63" s="227"/>
    </x:row>
    <x:row r="64">
      <x:c r="A64" s="227"/>
      <x:c r="B64" s="227"/>
      <x:c r="C64" s="227"/>
      <x:c r="D64" s="227"/>
      <x:c r="E64" s="227"/>
      <x:c r="F64" s="227"/>
      <x:c r="G64" s="227"/>
      <x:c r="H64" s="227"/>
      <x:c r="I64" s="227"/>
      <x:c r="J64" s="227"/>
      <x:c r="K64" s="227"/>
      <x:c r="L64" s="227"/>
      <x:c r="M64" s="227"/>
      <x:c r="N64" s="227"/>
      <x:c r="O64" s="227"/>
      <x:c r="P64" s="227"/>
      <x:c r="Q64" s="227"/>
      <x:c r="R64" s="227"/>
      <x:c r="S64" s="227"/>
      <x:c r="T64" s="227"/>
      <x:c r="U64" s="227"/>
      <x:c r="V64" s="227"/>
      <x:c r="W64" s="227"/>
      <x:c r="X64" s="227"/>
      <x:c r="Y64" s="227"/>
      <x:c r="Z64" s="227"/>
    </x:row>
    <x:row r="65">
      <x:c r="A65" s="227"/>
      <x:c r="B65" s="227"/>
      <x:c r="C65" s="227"/>
      <x:c r="D65" s="227"/>
      <x:c r="E65" s="227"/>
      <x:c r="F65" s="227"/>
      <x:c r="G65" s="227"/>
      <x:c r="H65" s="227"/>
      <x:c r="I65" s="227"/>
      <x:c r="J65" s="227"/>
      <x:c r="K65" s="227"/>
      <x:c r="L65" s="227"/>
      <x:c r="M65" s="227"/>
      <x:c r="N65" s="227"/>
      <x:c r="O65" s="227"/>
      <x:c r="P65" s="227"/>
      <x:c r="Q65" s="227"/>
      <x:c r="R65" s="227"/>
      <x:c r="S65" s="227"/>
      <x:c r="T65" s="227"/>
      <x:c r="U65" s="227"/>
      <x:c r="V65" s="227"/>
      <x:c r="W65" s="227"/>
      <x:c r="X65" s="227"/>
      <x:c r="Y65" s="227"/>
      <x:c r="Z65" s="227"/>
    </x:row>
    <x:row r="66">
      <x:c r="A66" s="227"/>
      <x:c r="B66" s="227"/>
      <x:c r="C66" s="227"/>
      <x:c r="D66" s="227"/>
      <x:c r="E66" s="227"/>
      <x:c r="F66" s="227"/>
      <x:c r="G66" s="227"/>
      <x:c r="H66" s="227"/>
      <x:c r="I66" s="227"/>
      <x:c r="J66" s="227"/>
      <x:c r="K66" s="227"/>
      <x:c r="L66" s="227"/>
      <x:c r="M66" s="227"/>
      <x:c r="N66" s="227"/>
      <x:c r="O66" s="227"/>
      <x:c r="P66" s="227"/>
      <x:c r="Q66" s="227"/>
      <x:c r="R66" s="227"/>
      <x:c r="S66" s="227"/>
      <x:c r="T66" s="227"/>
      <x:c r="U66" s="227"/>
      <x:c r="V66" s="227"/>
      <x:c r="W66" s="227"/>
      <x:c r="X66" s="227"/>
      <x:c r="Y66" s="227"/>
      <x:c r="Z66" s="227"/>
    </x:row>
    <x:row r="67">
      <x:c r="A67" s="227"/>
      <x:c r="B67" s="227"/>
      <x:c r="C67" s="227"/>
      <x:c r="D67" s="227"/>
      <x:c r="E67" s="227"/>
      <x:c r="F67" s="227"/>
      <x:c r="G67" s="227"/>
      <x:c r="H67" s="227"/>
      <x:c r="I67" s="227"/>
      <x:c r="J67" s="227"/>
      <x:c r="K67" s="227"/>
      <x:c r="L67" s="227"/>
      <x:c r="M67" s="227"/>
      <x:c r="N67" s="227"/>
      <x:c r="O67" s="227"/>
      <x:c r="P67" s="227"/>
      <x:c r="Q67" s="227"/>
      <x:c r="R67" s="227"/>
      <x:c r="S67" s="227"/>
      <x:c r="T67" s="227"/>
      <x:c r="U67" s="227"/>
      <x:c r="V67" s="227"/>
      <x:c r="W67" s="227"/>
      <x:c r="X67" s="227"/>
      <x:c r="Y67" s="227"/>
      <x:c r="Z67" s="227"/>
    </x:row>
    <x:row r="68">
      <x:c r="A68" s="227"/>
      <x:c r="B68" s="227"/>
      <x:c r="C68" s="227"/>
      <x:c r="D68" s="227"/>
      <x:c r="E68" s="227"/>
      <x:c r="F68" s="227"/>
      <x:c r="G68" s="227"/>
      <x:c r="H68" s="227"/>
      <x:c r="I68" s="227"/>
      <x:c r="J68" s="227"/>
      <x:c r="K68" s="227"/>
      <x:c r="L68" s="227"/>
      <x:c r="M68" s="227"/>
      <x:c r="N68" s="227"/>
      <x:c r="O68" s="227"/>
      <x:c r="P68" s="227"/>
      <x:c r="Q68" s="227"/>
      <x:c r="R68" s="227"/>
      <x:c r="S68" s="227"/>
      <x:c r="T68" s="227"/>
      <x:c r="U68" s="227"/>
      <x:c r="V68" s="227"/>
      <x:c r="W68" s="227"/>
      <x:c r="X68" s="227"/>
      <x:c r="Y68" s="227"/>
      <x:c r="Z68" s="227"/>
    </x:row>
    <x:row r="69">
      <x:c r="A69" s="227"/>
      <x:c r="B69" s="227"/>
      <x:c r="C69" s="227"/>
      <x:c r="D69" s="227"/>
      <x:c r="E69" s="227"/>
      <x:c r="F69" s="227"/>
      <x:c r="G69" s="227"/>
      <x:c r="H69" s="227"/>
      <x:c r="I69" s="227"/>
      <x:c r="J69" s="227"/>
      <x:c r="K69" s="227"/>
      <x:c r="L69" s="227"/>
      <x:c r="M69" s="227"/>
      <x:c r="N69" s="227"/>
      <x:c r="O69" s="227"/>
      <x:c r="P69" s="227"/>
      <x:c r="Q69" s="227"/>
      <x:c r="R69" s="227"/>
      <x:c r="S69" s="227"/>
      <x:c r="T69" s="227"/>
      <x:c r="U69" s="227"/>
      <x:c r="V69" s="227"/>
      <x:c r="W69" s="227"/>
      <x:c r="X69" s="227"/>
      <x:c r="Y69" s="227"/>
      <x:c r="Z69" s="227"/>
    </x:row>
    <x:row r="70">
      <x:c r="A70" s="227"/>
      <x:c r="B70" s="227"/>
      <x:c r="C70" s="227"/>
      <x:c r="D70" s="227"/>
      <x:c r="E70" s="227"/>
      <x:c r="F70" s="227"/>
      <x:c r="G70" s="227"/>
      <x:c r="H70" s="227"/>
      <x:c r="I70" s="227"/>
      <x:c r="J70" s="227"/>
      <x:c r="K70" s="227"/>
      <x:c r="L70" s="227"/>
      <x:c r="M70" s="227"/>
      <x:c r="N70" s="227"/>
      <x:c r="O70" s="227"/>
      <x:c r="P70" s="227"/>
      <x:c r="Q70" s="227"/>
      <x:c r="R70" s="227"/>
      <x:c r="S70" s="227"/>
      <x:c r="T70" s="227"/>
      <x:c r="U70" s="227"/>
      <x:c r="V70" s="227"/>
      <x:c r="W70" s="227"/>
      <x:c r="X70" s="227"/>
      <x:c r="Y70" s="227"/>
      <x:c r="Z70" s="227"/>
    </x:row>
    <x:row r="71">
      <x:c r="A71" s="227"/>
      <x:c r="B71" s="227"/>
      <x:c r="C71" s="227"/>
      <x:c r="D71" s="227"/>
      <x:c r="E71" s="227"/>
      <x:c r="F71" s="227"/>
      <x:c r="G71" s="227"/>
      <x:c r="H71" s="227"/>
      <x:c r="I71" s="227"/>
      <x:c r="J71" s="227"/>
      <x:c r="K71" s="227"/>
      <x:c r="L71" s="227"/>
      <x:c r="M71" s="227"/>
      <x:c r="N71" s="227"/>
      <x:c r="O71" s="227"/>
      <x:c r="P71" s="227"/>
      <x:c r="Q71" s="227"/>
      <x:c r="R71" s="227"/>
      <x:c r="S71" s="227"/>
      <x:c r="T71" s="227"/>
      <x:c r="U71" s="227"/>
      <x:c r="V71" s="227"/>
      <x:c r="W71" s="227"/>
      <x:c r="X71" s="227"/>
      <x:c r="Y71" s="227"/>
      <x:c r="Z71" s="227"/>
    </x:row>
    <x:row r="72">
      <x:c r="A72" s="227"/>
      <x:c r="B72" s="227"/>
      <x:c r="C72" s="227"/>
      <x:c r="D72" s="227"/>
      <x:c r="E72" s="227"/>
      <x:c r="F72" s="227"/>
      <x:c r="G72" s="227"/>
      <x:c r="H72" s="227"/>
      <x:c r="I72" s="227"/>
      <x:c r="J72" s="227"/>
      <x:c r="K72" s="227"/>
      <x:c r="L72" s="227"/>
      <x:c r="M72" s="227"/>
      <x:c r="N72" s="227"/>
      <x:c r="O72" s="227"/>
      <x:c r="P72" s="227"/>
      <x:c r="Q72" s="227"/>
      <x:c r="R72" s="227"/>
      <x:c r="S72" s="227"/>
      <x:c r="T72" s="227"/>
      <x:c r="U72" s="227"/>
      <x:c r="V72" s="227"/>
      <x:c r="W72" s="227"/>
      <x:c r="X72" s="227"/>
      <x:c r="Y72" s="227"/>
      <x:c r="Z72" s="227"/>
    </x:row>
    <x:row r="73">
      <x:c r="A73" s="227"/>
      <x:c r="B73" s="227"/>
      <x:c r="C73" s="227"/>
      <x:c r="D73" s="227"/>
      <x:c r="E73" s="227"/>
      <x:c r="F73" s="227"/>
      <x:c r="G73" s="227"/>
      <x:c r="H73" s="227"/>
      <x:c r="I73" s="227"/>
      <x:c r="J73" s="227"/>
      <x:c r="K73" s="227"/>
      <x:c r="L73" s="227"/>
      <x:c r="M73" s="227"/>
      <x:c r="N73" s="227"/>
      <x:c r="O73" s="227"/>
      <x:c r="P73" s="227"/>
      <x:c r="Q73" s="227"/>
      <x:c r="R73" s="227"/>
      <x:c r="S73" s="227"/>
      <x:c r="T73" s="227"/>
      <x:c r="U73" s="227"/>
      <x:c r="V73" s="227"/>
      <x:c r="W73" s="227"/>
      <x:c r="X73" s="227"/>
      <x:c r="Y73" s="227"/>
      <x:c r="Z73" s="227"/>
    </x:row>
    <x:row r="74">
      <x:c r="A74" s="227"/>
      <x:c r="B74" s="227"/>
      <x:c r="C74" s="227"/>
      <x:c r="D74" s="227"/>
      <x:c r="E74" s="227"/>
      <x:c r="F74" s="227"/>
      <x:c r="G74" s="227"/>
      <x:c r="H74" s="227"/>
      <x:c r="I74" s="227"/>
      <x:c r="J74" s="227"/>
      <x:c r="K74" s="227"/>
      <x:c r="L74" s="227"/>
      <x:c r="M74" s="227"/>
      <x:c r="N74" s="227"/>
      <x:c r="O74" s="227"/>
      <x:c r="P74" s="227"/>
      <x:c r="Q74" s="227"/>
      <x:c r="R74" s="227"/>
      <x:c r="S74" s="227"/>
      <x:c r="T74" s="227"/>
      <x:c r="U74" s="227"/>
      <x:c r="V74" s="227"/>
      <x:c r="W74" s="227"/>
      <x:c r="X74" s="227"/>
      <x:c r="Y74" s="227"/>
      <x:c r="Z74" s="227"/>
    </x:row>
    <x:row r="75">
      <x:c r="A75" s="227"/>
      <x:c r="B75" s="227"/>
      <x:c r="C75" s="227"/>
      <x:c r="D75" s="227"/>
      <x:c r="E75" s="227"/>
      <x:c r="F75" s="227"/>
      <x:c r="G75" s="227"/>
      <x:c r="H75" s="227"/>
      <x:c r="I75" s="227"/>
      <x:c r="J75" s="227"/>
      <x:c r="K75" s="227"/>
      <x:c r="L75" s="227"/>
      <x:c r="M75" s="227"/>
      <x:c r="N75" s="227"/>
      <x:c r="O75" s="227"/>
      <x:c r="P75" s="227"/>
      <x:c r="Q75" s="227"/>
      <x:c r="R75" s="227"/>
      <x:c r="S75" s="227"/>
      <x:c r="T75" s="227"/>
      <x:c r="U75" s="227"/>
      <x:c r="V75" s="227"/>
      <x:c r="W75" s="227"/>
      <x:c r="X75" s="227"/>
      <x:c r="Y75" s="227"/>
      <x:c r="Z75" s="227"/>
    </x:row>
    <x:row r="76">
      <x:c r="A76" s="227"/>
      <x:c r="B76" s="227"/>
      <x:c r="C76" s="227"/>
      <x:c r="D76" s="227"/>
      <x:c r="E76" s="227"/>
      <x:c r="F76" s="227"/>
      <x:c r="G76" s="227"/>
      <x:c r="H76" s="227"/>
      <x:c r="I76" s="227"/>
      <x:c r="J76" s="227"/>
      <x:c r="K76" s="227"/>
      <x:c r="L76" s="227"/>
      <x:c r="M76" s="227"/>
      <x:c r="N76" s="227"/>
      <x:c r="O76" s="227"/>
      <x:c r="P76" s="227"/>
      <x:c r="Q76" s="227"/>
      <x:c r="R76" s="227"/>
      <x:c r="S76" s="227"/>
      <x:c r="T76" s="227"/>
      <x:c r="U76" s="227"/>
      <x:c r="V76" s="227"/>
      <x:c r="W76" s="227"/>
      <x:c r="X76" s="227"/>
      <x:c r="Y76" s="227"/>
      <x:c r="Z76" s="227"/>
    </x:row>
    <x:row r="77">
      <x:c r="A77" s="227"/>
      <x:c r="B77" s="227"/>
      <x:c r="C77" s="227"/>
      <x:c r="D77" s="227"/>
      <x:c r="E77" s="227"/>
      <x:c r="F77" s="227"/>
      <x:c r="G77" s="227"/>
      <x:c r="H77" s="227"/>
      <x:c r="I77" s="227"/>
      <x:c r="J77" s="227"/>
      <x:c r="K77" s="227"/>
      <x:c r="L77" s="227"/>
      <x:c r="M77" s="227"/>
      <x:c r="N77" s="227"/>
      <x:c r="O77" s="227"/>
      <x:c r="P77" s="227"/>
      <x:c r="Q77" s="227"/>
      <x:c r="R77" s="227"/>
      <x:c r="S77" s="227"/>
      <x:c r="T77" s="227"/>
      <x:c r="U77" s="227"/>
      <x:c r="V77" s="227"/>
      <x:c r="W77" s="227"/>
      <x:c r="X77" s="227"/>
      <x:c r="Y77" s="227"/>
      <x:c r="Z77" s="227"/>
    </x:row>
    <x:row r="78">
      <x:c r="A78" s="227"/>
      <x:c r="B78" s="227"/>
      <x:c r="C78" s="227"/>
      <x:c r="D78" s="227"/>
      <x:c r="E78" s="227"/>
      <x:c r="F78" s="227"/>
      <x:c r="G78" s="227"/>
      <x:c r="H78" s="227"/>
      <x:c r="I78" s="227"/>
      <x:c r="J78" s="227"/>
      <x:c r="K78" s="227"/>
      <x:c r="L78" s="227"/>
      <x:c r="M78" s="227"/>
      <x:c r="N78" s="227"/>
      <x:c r="O78" s="227"/>
      <x:c r="P78" s="227"/>
      <x:c r="Q78" s="227"/>
      <x:c r="R78" s="227"/>
      <x:c r="S78" s="227"/>
      <x:c r="T78" s="227"/>
      <x:c r="U78" s="227"/>
      <x:c r="V78" s="227"/>
      <x:c r="W78" s="227"/>
      <x:c r="X78" s="227"/>
      <x:c r="Y78" s="227"/>
      <x:c r="Z78" s="227"/>
    </x:row>
    <x:row r="79">
      <x:c r="A79" s="227"/>
      <x:c r="B79" s="227"/>
      <x:c r="C79" s="227"/>
      <x:c r="D79" s="227"/>
      <x:c r="E79" s="227"/>
      <x:c r="F79" s="227"/>
      <x:c r="G79" s="227"/>
      <x:c r="H79" s="227"/>
      <x:c r="I79" s="227"/>
      <x:c r="J79" s="227"/>
      <x:c r="K79" s="227"/>
      <x:c r="L79" s="227"/>
      <x:c r="M79" s="227"/>
      <x:c r="N79" s="227"/>
      <x:c r="O79" s="227"/>
      <x:c r="P79" s="227"/>
      <x:c r="Q79" s="227"/>
      <x:c r="R79" s="227"/>
      <x:c r="S79" s="227"/>
      <x:c r="T79" s="227"/>
      <x:c r="U79" s="227"/>
      <x:c r="V79" s="227"/>
      <x:c r="W79" s="227"/>
      <x:c r="X79" s="227"/>
      <x:c r="Y79" s="227"/>
      <x:c r="Z79" s="227"/>
    </x:row>
    <x:row r="80">
      <x:c r="A80" s="227"/>
      <x:c r="B80" s="227"/>
      <x:c r="C80" s="227"/>
      <x:c r="D80" s="227"/>
      <x:c r="E80" s="227"/>
      <x:c r="F80" s="227"/>
      <x:c r="G80" s="227"/>
      <x:c r="H80" s="227"/>
      <x:c r="I80" s="227"/>
      <x:c r="J80" s="227"/>
      <x:c r="K80" s="227"/>
      <x:c r="L80" s="227"/>
      <x:c r="M80" s="227"/>
      <x:c r="N80" s="227"/>
      <x:c r="O80" s="227"/>
      <x:c r="P80" s="227"/>
      <x:c r="Q80" s="227"/>
      <x:c r="R80" s="227"/>
      <x:c r="S80" s="227"/>
      <x:c r="T80" s="227"/>
      <x:c r="U80" s="227"/>
      <x:c r="V80" s="227"/>
      <x:c r="W80" s="227"/>
      <x:c r="X80" s="227"/>
      <x:c r="Y80" s="227"/>
      <x:c r="Z80" s="227"/>
    </x:row>
    <x:row r="81">
      <x:c r="A81" s="227"/>
      <x:c r="B81" s="227"/>
      <x:c r="C81" s="227"/>
      <x:c r="D81" s="227"/>
      <x:c r="E81" s="227"/>
      <x:c r="F81" s="227"/>
      <x:c r="G81" s="227"/>
      <x:c r="H81" s="227"/>
      <x:c r="I81" s="227"/>
      <x:c r="J81" s="227"/>
      <x:c r="K81" s="227"/>
      <x:c r="L81" s="227"/>
      <x:c r="M81" s="227"/>
      <x:c r="N81" s="227"/>
      <x:c r="O81" s="227"/>
      <x:c r="P81" s="227"/>
      <x:c r="Q81" s="227"/>
      <x:c r="R81" s="227"/>
      <x:c r="S81" s="227"/>
      <x:c r="T81" s="227"/>
      <x:c r="U81" s="227"/>
      <x:c r="V81" s="227"/>
      <x:c r="W81" s="227"/>
      <x:c r="X81" s="227"/>
      <x:c r="Y81" s="227"/>
      <x:c r="Z81" s="227"/>
    </x:row>
    <x:row r="82">
      <x:c r="A82" s="227"/>
      <x:c r="B82" s="227"/>
      <x:c r="C82" s="227"/>
      <x:c r="D82" s="227"/>
      <x:c r="E82" s="227"/>
      <x:c r="F82" s="227"/>
      <x:c r="G82" s="227"/>
      <x:c r="H82" s="227"/>
      <x:c r="I82" s="227"/>
      <x:c r="J82" s="227"/>
      <x:c r="K82" s="227"/>
      <x:c r="L82" s="227"/>
      <x:c r="M82" s="227"/>
      <x:c r="N82" s="227"/>
      <x:c r="O82" s="227"/>
      <x:c r="P82" s="227"/>
      <x:c r="Q82" s="227"/>
      <x:c r="R82" s="227"/>
      <x:c r="S82" s="227"/>
      <x:c r="T82" s="227"/>
      <x:c r="U82" s="227"/>
      <x:c r="V82" s="227"/>
      <x:c r="W82" s="227"/>
      <x:c r="X82" s="227"/>
      <x:c r="Y82" s="227"/>
      <x:c r="Z82" s="227"/>
    </x:row>
    <x:row r="83">
      <x:c r="A83" s="227"/>
      <x:c r="B83" s="227"/>
      <x:c r="C83" s="227"/>
      <x:c r="D83" s="227"/>
      <x:c r="E83" s="227"/>
      <x:c r="F83" s="227"/>
      <x:c r="G83" s="227"/>
      <x:c r="H83" s="227"/>
      <x:c r="I83" s="227"/>
      <x:c r="J83" s="227"/>
      <x:c r="K83" s="227"/>
      <x:c r="L83" s="227"/>
      <x:c r="M83" s="227"/>
      <x:c r="N83" s="227"/>
      <x:c r="O83" s="227"/>
      <x:c r="P83" s="227"/>
      <x:c r="Q83" s="227"/>
      <x:c r="R83" s="227"/>
      <x:c r="S83" s="227"/>
      <x:c r="T83" s="227"/>
      <x:c r="U83" s="227"/>
      <x:c r="V83" s="227"/>
      <x:c r="W83" s="227"/>
      <x:c r="X83" s="227"/>
      <x:c r="Y83" s="227"/>
      <x:c r="Z83" s="227"/>
    </x:row>
    <x:row r="84">
      <x:c r="A84" s="227"/>
      <x:c r="B84" s="227"/>
      <x:c r="C84" s="227"/>
      <x:c r="D84" s="227"/>
      <x:c r="E84" s="227"/>
      <x:c r="F84" s="227"/>
      <x:c r="G84" s="227"/>
      <x:c r="H84" s="227"/>
      <x:c r="I84" s="227"/>
      <x:c r="J84" s="227"/>
      <x:c r="K84" s="227"/>
      <x:c r="L84" s="227"/>
      <x:c r="M84" s="227"/>
      <x:c r="N84" s="227"/>
      <x:c r="O84" s="227"/>
      <x:c r="P84" s="227"/>
      <x:c r="Q84" s="227"/>
      <x:c r="R84" s="227"/>
      <x:c r="S84" s="227"/>
      <x:c r="T84" s="227"/>
      <x:c r="U84" s="227"/>
      <x:c r="V84" s="227"/>
      <x:c r="W84" s="227"/>
      <x:c r="X84" s="227"/>
      <x:c r="Y84" s="227"/>
      <x:c r="Z84" s="227"/>
    </x:row>
    <x:row r="85">
      <x:c r="A85" s="227"/>
      <x:c r="B85" s="227"/>
      <x:c r="C85" s="227"/>
      <x:c r="D85" s="227"/>
      <x:c r="E85" s="227"/>
      <x:c r="F85" s="227"/>
      <x:c r="G85" s="227"/>
      <x:c r="H85" s="227"/>
      <x:c r="I85" s="227"/>
      <x:c r="J85" s="227"/>
      <x:c r="K85" s="227"/>
      <x:c r="L85" s="227"/>
      <x:c r="M85" s="227"/>
      <x:c r="N85" s="227"/>
      <x:c r="O85" s="227"/>
      <x:c r="P85" s="227"/>
      <x:c r="Q85" s="227"/>
      <x:c r="R85" s="227"/>
      <x:c r="S85" s="227"/>
      <x:c r="T85" s="227"/>
      <x:c r="U85" s="227"/>
      <x:c r="V85" s="227"/>
      <x:c r="W85" s="227"/>
      <x:c r="X85" s="227"/>
      <x:c r="Y85" s="227"/>
      <x:c r="Z85" s="227"/>
    </x:row>
    <x:row r="86">
      <x:c r="A86" s="227"/>
      <x:c r="B86" s="227"/>
      <x:c r="C86" s="227"/>
      <x:c r="D86" s="227"/>
      <x:c r="E86" s="227"/>
      <x:c r="F86" s="227"/>
      <x:c r="G86" s="227"/>
      <x:c r="H86" s="227"/>
      <x:c r="I86" s="227"/>
      <x:c r="J86" s="227"/>
      <x:c r="K86" s="227"/>
      <x:c r="L86" s="227"/>
      <x:c r="M86" s="227"/>
      <x:c r="N86" s="227"/>
      <x:c r="O86" s="227"/>
      <x:c r="P86" s="227"/>
      <x:c r="Q86" s="227"/>
      <x:c r="R86" s="227"/>
      <x:c r="S86" s="227"/>
      <x:c r="T86" s="227"/>
      <x:c r="U86" s="227"/>
      <x:c r="V86" s="227"/>
      <x:c r="W86" s="227"/>
      <x:c r="X86" s="227"/>
      <x:c r="Y86" s="227"/>
      <x:c r="Z86" s="227"/>
    </x:row>
    <x:row r="87">
      <x:c r="A87" s="227"/>
      <x:c r="B87" s="227"/>
      <x:c r="C87" s="227"/>
      <x:c r="D87" s="227"/>
      <x:c r="E87" s="227"/>
      <x:c r="F87" s="227"/>
      <x:c r="G87" s="227"/>
      <x:c r="H87" s="227"/>
      <x:c r="I87" s="227"/>
      <x:c r="J87" s="227"/>
      <x:c r="K87" s="227"/>
      <x:c r="L87" s="227"/>
      <x:c r="M87" s="227"/>
      <x:c r="N87" s="227"/>
      <x:c r="O87" s="227"/>
      <x:c r="P87" s="227"/>
      <x:c r="Q87" s="227"/>
      <x:c r="R87" s="227"/>
      <x:c r="S87" s="227"/>
      <x:c r="T87" s="227"/>
      <x:c r="U87" s="227"/>
      <x:c r="V87" s="227"/>
      <x:c r="W87" s="227"/>
      <x:c r="X87" s="227"/>
      <x:c r="Y87" s="227"/>
      <x:c r="Z87" s="227"/>
    </x:row>
    <x:row r="88">
      <x:c r="A88" s="227"/>
      <x:c r="B88" s="227"/>
      <x:c r="C88" s="227"/>
      <x:c r="D88" s="227"/>
      <x:c r="E88" s="227"/>
      <x:c r="F88" s="227"/>
      <x:c r="G88" s="227"/>
      <x:c r="H88" s="227"/>
      <x:c r="I88" s="227"/>
      <x:c r="J88" s="227"/>
      <x:c r="K88" s="227"/>
      <x:c r="L88" s="227"/>
      <x:c r="M88" s="227"/>
      <x:c r="N88" s="227"/>
      <x:c r="O88" s="227"/>
      <x:c r="P88" s="227"/>
      <x:c r="Q88" s="227"/>
      <x:c r="R88" s="227"/>
      <x:c r="S88" s="227"/>
      <x:c r="T88" s="227"/>
      <x:c r="U88" s="227"/>
      <x:c r="V88" s="227"/>
      <x:c r="W88" s="227"/>
      <x:c r="X88" s="227"/>
      <x:c r="Y88" s="227"/>
      <x:c r="Z88" s="227"/>
    </x:row>
    <x:row r="89">
      <x:c r="A89" s="227"/>
      <x:c r="B89" s="227"/>
      <x:c r="C89" s="227"/>
      <x:c r="D89" s="227"/>
      <x:c r="E89" s="227"/>
      <x:c r="F89" s="227"/>
      <x:c r="G89" s="227"/>
      <x:c r="H89" s="227"/>
      <x:c r="I89" s="227"/>
      <x:c r="J89" s="227"/>
      <x:c r="K89" s="227"/>
      <x:c r="L89" s="227"/>
      <x:c r="M89" s="227"/>
      <x:c r="N89" s="227"/>
      <x:c r="O89" s="227"/>
      <x:c r="P89" s="227"/>
      <x:c r="Q89" s="227"/>
      <x:c r="R89" s="227"/>
      <x:c r="S89" s="227"/>
      <x:c r="T89" s="227"/>
      <x:c r="U89" s="227"/>
      <x:c r="V89" s="227"/>
      <x:c r="W89" s="227"/>
      <x:c r="X89" s="227"/>
      <x:c r="Y89" s="227"/>
      <x:c r="Z89" s="227"/>
    </x:row>
    <x:row r="90">
      <x:c r="A90" s="227"/>
      <x:c r="B90" s="227"/>
      <x:c r="C90" s="227"/>
      <x:c r="D90" s="227"/>
      <x:c r="E90" s="227"/>
      <x:c r="F90" s="227"/>
      <x:c r="G90" s="227"/>
      <x:c r="H90" s="227"/>
      <x:c r="I90" s="227"/>
      <x:c r="J90" s="227"/>
      <x:c r="K90" s="227"/>
      <x:c r="L90" s="227"/>
      <x:c r="M90" s="227"/>
      <x:c r="N90" s="227"/>
      <x:c r="O90" s="227"/>
      <x:c r="P90" s="227"/>
      <x:c r="Q90" s="227"/>
      <x:c r="R90" s="227"/>
      <x:c r="S90" s="227"/>
      <x:c r="T90" s="227"/>
      <x:c r="U90" s="227"/>
      <x:c r="V90" s="227"/>
      <x:c r="W90" s="227"/>
      <x:c r="X90" s="227"/>
      <x:c r="Y90" s="227"/>
      <x:c r="Z90" s="227"/>
    </x:row>
    <x:row r="91">
      <x:c r="A91" s="227"/>
      <x:c r="B91" s="227"/>
      <x:c r="C91" s="227"/>
      <x:c r="D91" s="227"/>
      <x:c r="E91" s="227"/>
      <x:c r="F91" s="227"/>
      <x:c r="G91" s="227"/>
      <x:c r="H91" s="227"/>
      <x:c r="I91" s="227"/>
      <x:c r="J91" s="227"/>
      <x:c r="K91" s="227"/>
      <x:c r="L91" s="227"/>
      <x:c r="M91" s="227"/>
      <x:c r="N91" s="227"/>
      <x:c r="O91" s="227"/>
      <x:c r="P91" s="227"/>
      <x:c r="Q91" s="227"/>
      <x:c r="R91" s="227"/>
      <x:c r="S91" s="227"/>
      <x:c r="T91" s="227"/>
      <x:c r="U91" s="227"/>
      <x:c r="V91" s="227"/>
      <x:c r="W91" s="227"/>
      <x:c r="X91" s="227"/>
      <x:c r="Y91" s="227"/>
      <x:c r="Z91" s="227"/>
    </x:row>
    <x:row r="92">
      <x:c r="A92" s="227"/>
      <x:c r="B92" s="227"/>
      <x:c r="C92" s="227"/>
      <x:c r="D92" s="227"/>
      <x:c r="E92" s="227"/>
      <x:c r="F92" s="227"/>
      <x:c r="G92" s="227"/>
      <x:c r="H92" s="227"/>
      <x:c r="I92" s="227"/>
      <x:c r="J92" s="227"/>
      <x:c r="K92" s="227"/>
      <x:c r="L92" s="227"/>
      <x:c r="M92" s="227"/>
      <x:c r="N92" s="227"/>
      <x:c r="O92" s="227"/>
      <x:c r="P92" s="227"/>
      <x:c r="Q92" s="227"/>
      <x:c r="R92" s="227"/>
      <x:c r="S92" s="227"/>
      <x:c r="T92" s="227"/>
      <x:c r="U92" s="227"/>
      <x:c r="V92" s="227"/>
      <x:c r="W92" s="227"/>
      <x:c r="X92" s="227"/>
      <x:c r="Y92" s="227"/>
      <x:c r="Z92" s="227"/>
    </x:row>
    <x:row r="93">
      <x:c r="A93" s="227"/>
      <x:c r="B93" s="227"/>
      <x:c r="C93" s="227"/>
      <x:c r="D93" s="227"/>
      <x:c r="E93" s="227"/>
      <x:c r="F93" s="227"/>
      <x:c r="G93" s="227"/>
      <x:c r="H93" s="227"/>
      <x:c r="I93" s="227"/>
      <x:c r="J93" s="227"/>
      <x:c r="K93" s="227"/>
      <x:c r="L93" s="227"/>
      <x:c r="M93" s="227"/>
      <x:c r="N93" s="227"/>
      <x:c r="O93" s="227"/>
      <x:c r="P93" s="227"/>
      <x:c r="Q93" s="227"/>
      <x:c r="R93" s="227"/>
      <x:c r="S93" s="227"/>
      <x:c r="T93" s="227"/>
      <x:c r="U93" s="227"/>
      <x:c r="V93" s="227"/>
      <x:c r="W93" s="227"/>
      <x:c r="X93" s="227"/>
      <x:c r="Y93" s="227"/>
      <x:c r="Z93" s="227"/>
    </x:row>
    <x:row r="94">
      <x:c r="A94" s="227"/>
      <x:c r="B94" s="227"/>
      <x:c r="C94" s="227"/>
      <x:c r="D94" s="227"/>
      <x:c r="E94" s="227"/>
      <x:c r="F94" s="227"/>
      <x:c r="G94" s="227"/>
      <x:c r="H94" s="227"/>
      <x:c r="I94" s="227"/>
      <x:c r="J94" s="227"/>
      <x:c r="K94" s="227"/>
      <x:c r="L94" s="227"/>
      <x:c r="M94" s="227"/>
      <x:c r="N94" s="227"/>
      <x:c r="O94" s="227"/>
      <x:c r="P94" s="227"/>
      <x:c r="Q94" s="227"/>
      <x:c r="R94" s="227"/>
      <x:c r="S94" s="227"/>
      <x:c r="T94" s="227"/>
      <x:c r="U94" s="227"/>
      <x:c r="V94" s="227"/>
      <x:c r="W94" s="227"/>
      <x:c r="X94" s="227"/>
      <x:c r="Y94" s="227"/>
      <x:c r="Z94" s="227"/>
    </x:row>
    <x:row r="95">
      <x:c r="A95" s="227"/>
      <x:c r="B95" s="227"/>
      <x:c r="C95" s="227"/>
      <x:c r="D95" s="227"/>
      <x:c r="E95" s="227"/>
      <x:c r="F95" s="227"/>
      <x:c r="G95" s="227"/>
      <x:c r="H95" s="227"/>
      <x:c r="I95" s="227"/>
      <x:c r="J95" s="227"/>
      <x:c r="K95" s="227"/>
      <x:c r="L95" s="227"/>
      <x:c r="M95" s="227"/>
      <x:c r="N95" s="227"/>
      <x:c r="O95" s="227"/>
      <x:c r="P95" s="227"/>
      <x:c r="Q95" s="227"/>
      <x:c r="R95" s="227"/>
      <x:c r="S95" s="227"/>
      <x:c r="T95" s="227"/>
      <x:c r="U95" s="227"/>
      <x:c r="V95" s="227"/>
      <x:c r="W95" s="227"/>
      <x:c r="X95" s="227"/>
      <x:c r="Y95" s="227"/>
      <x:c r="Z95" s="227"/>
    </x:row>
    <x:row r="96">
      <x:c r="A96" s="227"/>
      <x:c r="B96" s="227"/>
      <x:c r="C96" s="227"/>
      <x:c r="D96" s="227"/>
      <x:c r="E96" s="227"/>
      <x:c r="F96" s="227"/>
      <x:c r="G96" s="227"/>
      <x:c r="H96" s="227"/>
      <x:c r="I96" s="227"/>
      <x:c r="J96" s="227"/>
      <x:c r="K96" s="227"/>
      <x:c r="L96" s="227"/>
      <x:c r="M96" s="227"/>
      <x:c r="N96" s="227"/>
      <x:c r="O96" s="227"/>
      <x:c r="P96" s="227"/>
      <x:c r="Q96" s="227"/>
      <x:c r="R96" s="227"/>
      <x:c r="S96" s="227"/>
      <x:c r="T96" s="227"/>
      <x:c r="U96" s="227"/>
      <x:c r="V96" s="227"/>
      <x:c r="W96" s="227"/>
      <x:c r="X96" s="227"/>
      <x:c r="Y96" s="227"/>
      <x:c r="Z96" s="227"/>
    </x:row>
    <x:row r="97">
      <x:c r="A97" s="227"/>
      <x:c r="B97" s="227"/>
      <x:c r="C97" s="227"/>
      <x:c r="D97" s="227"/>
      <x:c r="E97" s="227"/>
      <x:c r="F97" s="227"/>
      <x:c r="G97" s="227"/>
      <x:c r="H97" s="227"/>
      <x:c r="I97" s="227"/>
      <x:c r="J97" s="227"/>
      <x:c r="K97" s="227"/>
      <x:c r="L97" s="227"/>
      <x:c r="M97" s="227"/>
      <x:c r="N97" s="227"/>
      <x:c r="O97" s="227"/>
      <x:c r="P97" s="227"/>
      <x:c r="Q97" s="227"/>
      <x:c r="R97" s="227"/>
      <x:c r="S97" s="227"/>
      <x:c r="T97" s="227"/>
      <x:c r="U97" s="227"/>
      <x:c r="V97" s="227"/>
      <x:c r="W97" s="227"/>
      <x:c r="X97" s="227"/>
      <x:c r="Y97" s="227"/>
      <x:c r="Z97" s="227"/>
    </x:row>
    <x:row r="98">
      <x:c r="A98" s="227"/>
      <x:c r="B98" s="227"/>
      <x:c r="C98" s="227"/>
      <x:c r="D98" s="227"/>
      <x:c r="E98" s="227"/>
      <x:c r="F98" s="227"/>
      <x:c r="G98" s="227"/>
      <x:c r="H98" s="227"/>
      <x:c r="I98" s="227"/>
      <x:c r="J98" s="227"/>
      <x:c r="K98" s="227"/>
      <x:c r="L98" s="227"/>
      <x:c r="M98" s="227"/>
      <x:c r="N98" s="227"/>
      <x:c r="O98" s="227"/>
      <x:c r="P98" s="227"/>
      <x:c r="Q98" s="227"/>
      <x:c r="R98" s="227"/>
      <x:c r="S98" s="227"/>
      <x:c r="T98" s="227"/>
      <x:c r="U98" s="227"/>
      <x:c r="V98" s="227"/>
      <x:c r="W98" s="227"/>
      <x:c r="X98" s="227"/>
      <x:c r="Y98" s="227"/>
      <x:c r="Z98" s="227"/>
    </x:row>
    <x:row r="99">
      <x:c r="A99" s="227"/>
      <x:c r="B99" s="227"/>
      <x:c r="C99" s="227"/>
      <x:c r="D99" s="227"/>
      <x:c r="E99" s="227"/>
      <x:c r="F99" s="227"/>
      <x:c r="G99" s="227"/>
      <x:c r="H99" s="227"/>
      <x:c r="I99" s="227"/>
      <x:c r="J99" s="227"/>
      <x:c r="K99" s="227"/>
      <x:c r="L99" s="227"/>
      <x:c r="M99" s="227"/>
      <x:c r="N99" s="227"/>
      <x:c r="O99" s="227"/>
      <x:c r="P99" s="227"/>
      <x:c r="Q99" s="227"/>
      <x:c r="R99" s="227"/>
      <x:c r="S99" s="227"/>
      <x:c r="T99" s="227"/>
      <x:c r="U99" s="227"/>
      <x:c r="V99" s="227"/>
      <x:c r="W99" s="227"/>
      <x:c r="X99" s="227"/>
      <x:c r="Y99" s="227"/>
      <x:c r="Z99" s="227"/>
    </x:row>
    <x:row r="100">
      <x:c r="A100" s="227"/>
      <x:c r="B100" s="227"/>
      <x:c r="C100" s="227"/>
      <x:c r="D100" s="227"/>
      <x:c r="E100" s="227"/>
      <x:c r="F100" s="227"/>
      <x:c r="G100" s="227"/>
      <x:c r="H100" s="227"/>
      <x:c r="I100" s="227"/>
      <x:c r="J100" s="227"/>
      <x:c r="K100" s="227"/>
      <x:c r="L100" s="227"/>
      <x:c r="M100" s="227"/>
      <x:c r="N100" s="227"/>
      <x:c r="O100" s="227"/>
      <x:c r="P100" s="227"/>
      <x:c r="Q100" s="227"/>
      <x:c r="R100" s="227"/>
      <x:c r="S100" s="227"/>
      <x:c r="T100" s="227"/>
      <x:c r="U100" s="227"/>
      <x:c r="V100" s="227"/>
      <x:c r="W100" s="227"/>
      <x:c r="X100" s="227"/>
      <x:c r="Y100" s="227"/>
      <x:c r="Z100" s="227"/>
    </x:row>
  </x:sheetData>
  <x:mergeCells>
    <x:mergeCell ref="A1:J1"/>
    <x:mergeCell ref="A2:J2"/>
    <x:mergeCell ref="A16:C16"/>
    <x:mergeCell ref="A26:C30"/>
    <x:mergeCell ref="A1:M1"/>
    <x:mergeCell ref="A2:M2"/>
    <x:mergeCell ref="F4:M4"/>
    <x:mergeCell ref="F5:M10"/>
    <x:mergeCell ref="F12:M18"/>
    <x:mergeCell ref="F20:M26"/>
    <x:mergeCell ref="A25:D25"/>
  </x:mergeCells>
  <x:pageMargins left="0.7" right="0.7" top="0.75" bottom="0.75" header="0.3" footer="0.3"/>
  <x:drawing xmlns:r="http://schemas.openxmlformats.org/officeDocument/2006/relationships" r:id="Rca837330ac004961"/>
</x:worksheet>
</file>

<file path=xl/worksheets/sheet8.xml><?xml version="1.0" encoding="utf-8"?>
<x:worksheet xmlns:x="http://schemas.openxmlformats.org/spreadsheetml/2006/main">
  <x:sheetFormatPr defaultRowHeight="15"/>
  <x:cols>
    <x:col min="1" max="1" width="42" hidden="0" customWidth="1"/>
    <x:col min="2" max="2" width="20" hidden="0" customWidth="1"/>
    <x:col min="3" max="3" width="20" hidden="0" customWidth="1"/>
    <x:col min="4" max="4" width="12" hidden="0" customWidth="1"/>
    <x:col min="5" max="5" width="28" hidden="0" customWidth="1"/>
  </x:cols>
  <x:sheetData>
    <x:row r="1" ht="32" customHeight="1">
      <x:c r="A1" s="473" t="str">
        <x:v>MODEL VALIDATION CHECKS — PROFESSIONAL VERSION</x:v>
      </x:c>
      <x:c r="B1" s="473"/>
      <x:c r="C1" s="473"/>
      <x:c r="D1" s="473"/>
      <x:c r="E1" s="421"/>
      <x:c r="F1" s="227"/>
      <x:c r="G1" s="227"/>
      <x:c r="H1" s="227"/>
      <x:c r="I1" s="227"/>
      <x:c r="J1" s="227"/>
      <x:c r="K1" s="227"/>
      <x:c r="L1" s="227"/>
      <x:c r="M1" s="227"/>
      <x:c r="N1" s="227"/>
      <x:c r="O1" s="227"/>
      <x:c r="P1" s="227"/>
      <x:c r="Q1" s="227"/>
      <x:c r="R1" s="227"/>
      <x:c r="S1" s="227"/>
      <x:c r="T1" s="227"/>
      <x:c r="U1" s="227"/>
      <x:c r="V1" s="227"/>
      <x:c r="W1" s="227"/>
      <x:c r="X1" s="227"/>
      <x:c r="Y1" s="227"/>
      <x:c r="Z1" s="227"/>
    </x:row>
    <x:row r="2" ht="24" customHeight="1">
      <x:c r="A2" s="525" t="str">
        <x:v>Check</x:v>
      </x:c>
      <x:c r="B2" s="525" t="str">
        <x:v>Scenario 1 / Result</x:v>
      </x:c>
      <x:c r="C2" s="525" t="str">
        <x:v>Scenario 2 / Expected</x:v>
      </x:c>
      <x:c r="D2" s="525" t="str">
        <x:v>Status</x:v>
      </x:c>
      <x:c r="E2" s="482" t="str">
        <x:v>Purpose</x:v>
      </x:c>
      <x:c r="F2" s="227"/>
      <x:c r="G2" s="227"/>
      <x:c r="H2" s="227"/>
      <x:c r="I2" s="227"/>
      <x:c r="J2" s="227"/>
      <x:c r="K2" s="227"/>
      <x:c r="L2" s="227"/>
      <x:c r="M2" s="227"/>
      <x:c r="N2" s="227"/>
      <x:c r="O2" s="227"/>
      <x:c r="P2" s="227"/>
      <x:c r="Q2" s="227"/>
      <x:c r="R2" s="227"/>
      <x:c r="S2" s="227"/>
      <x:c r="T2" s="227"/>
      <x:c r="U2" s="227"/>
      <x:c r="V2" s="227"/>
      <x:c r="W2" s="227"/>
      <x:c r="X2" s="227"/>
      <x:c r="Y2" s="227"/>
      <x:c r="Z2" s="227"/>
    </x:row>
    <x:row r="3">
      <x:c r="A3" s="314" t="str">
        <x:v>Product mix equals 100%</x:v>
      </x:c>
      <x:c r="B3" s="314" t="n">
        <x:f>SUM(Assumptions!B39:B41)</x:f>
        <x:v>1</x:v>
      </x:c>
      <x:c r="C3" s="314" t="n">
        <x:v>1</x:v>
      </x:c>
      <x:c r="D3" s="314" t="str">
        <x:f>IF(ABS(B3-C3)&lt;0.000001,"PASS","FAIL")</x:f>
        <x:v>PASS</x:v>
      </x:c>
      <x:c r="E3" s="227" t="str">
        <x:v>Unit economics</x:v>
      </x:c>
      <x:c r="F3" s="227"/>
      <x:c r="G3" s="227"/>
      <x:c r="H3" s="227"/>
      <x:c r="I3" s="227"/>
      <x:c r="J3" s="227"/>
      <x:c r="K3" s="227"/>
      <x:c r="L3" s="227"/>
      <x:c r="M3" s="227"/>
      <x:c r="N3" s="227"/>
      <x:c r="O3" s="227"/>
      <x:c r="P3" s="227"/>
      <x:c r="Q3" s="227"/>
      <x:c r="R3" s="227"/>
      <x:c r="S3" s="227"/>
      <x:c r="T3" s="227"/>
      <x:c r="U3" s="227"/>
      <x:c r="V3" s="227"/>
      <x:c r="W3" s="227"/>
      <x:c r="X3" s="227"/>
      <x:c r="Y3" s="227"/>
      <x:c r="Z3" s="227"/>
    </x:row>
    <x:row r="4">
      <x:c r="A4" s="227" t="str">
        <x:v>Initial commercial machine order</x:v>
      </x:c>
      <x:c r="B4" s="418" t="n">
        <x:f>'Scenario 1 Organic'!D10</x:f>
        <x:v>30</x:v>
      </x:c>
      <x:c r="C4" s="418" t="n">
        <x:v>30</x:v>
      </x:c>
      <x:c r="D4" s="227" t="str">
        <x:f>IF(B4=C4,"PASS","FAIL")</x:f>
        <x:v>PASS</x:v>
      </x:c>
      <x:c r="E4" s="227" t="str">
        <x:v>30-machine launch</x:v>
      </x:c>
      <x:c r="F4" s="227"/>
      <x:c r="G4" s="227"/>
      <x:c r="H4" s="227"/>
      <x:c r="I4" s="227"/>
      <x:c r="J4" s="227"/>
      <x:c r="K4" s="227"/>
      <x:c r="L4" s="227"/>
      <x:c r="M4" s="227"/>
      <x:c r="N4" s="227"/>
      <x:c r="O4" s="227"/>
      <x:c r="P4" s="227"/>
      <x:c r="Q4" s="227"/>
      <x:c r="R4" s="227"/>
      <x:c r="S4" s="227"/>
      <x:c r="T4" s="227"/>
      <x:c r="U4" s="227"/>
      <x:c r="V4" s="227"/>
      <x:c r="W4" s="227"/>
      <x:c r="X4" s="227"/>
      <x:c r="Y4" s="227"/>
      <x:c r="Z4" s="227"/>
    </x:row>
    <x:row r="5">
      <x:c r="A5" s="227" t="str">
        <x:v>Pilot venue share</x:v>
      </x:c>
      <x:c r="B5" s="301" t="n">
        <x:f>Assumptions!B55</x:f>
        <x:v>0</x:v>
      </x:c>
      <x:c r="C5" s="301" t="n">
        <x:v>0</x:v>
      </x:c>
      <x:c r="D5" s="227" t="str">
        <x:f>IF(B5=C5,"PASS","FAIL")</x:f>
        <x:v>PASS</x:v>
      </x:c>
      <x:c r="E5" s="227" t="str">
        <x:v>Pilot retains 100% vending revenue</x:v>
      </x:c>
      <x:c r="F5" s="227"/>
      <x:c r="G5" s="227"/>
      <x:c r="H5" s="227"/>
      <x:c r="I5" s="227"/>
      <x:c r="J5" s="227"/>
      <x:c r="K5" s="227"/>
      <x:c r="L5" s="227"/>
      <x:c r="M5" s="227"/>
      <x:c r="N5" s="227"/>
      <x:c r="O5" s="227"/>
      <x:c r="P5" s="227"/>
      <x:c r="Q5" s="227"/>
      <x:c r="R5" s="227"/>
      <x:c r="S5" s="227"/>
      <x:c r="T5" s="227"/>
      <x:c r="U5" s="227"/>
      <x:c r="V5" s="227"/>
      <x:c r="W5" s="227"/>
      <x:c r="X5" s="227"/>
      <x:c r="Y5" s="227"/>
      <x:c r="Z5" s="227"/>
    </x:row>
    <x:row r="6">
      <x:c r="A6" s="227" t="str">
        <x:v>Club shares equal 100%</x:v>
      </x:c>
      <x:c r="B6" s="418" t="n">
        <x:f>Assumptions!B79+Assumptions!B80</x:f>
        <x:v>1</x:v>
      </x:c>
      <x:c r="C6" s="418" t="n">
        <x:v>1</x:v>
      </x:c>
      <x:c r="D6" s="227" t="str">
        <x:f>IF(ABS(B6-C6)&lt;0.000001,"PASS","FAIL")</x:f>
        <x:v>PASS</x:v>
      </x:c>
      <x:c r="E6" s="227" t="str">
        <x:v>Club economics</x:v>
      </x:c>
      <x:c r="F6" s="227"/>
      <x:c r="G6" s="227"/>
      <x:c r="H6" s="227"/>
      <x:c r="I6" s="227"/>
      <x:c r="J6" s="227"/>
      <x:c r="K6" s="227"/>
      <x:c r="L6" s="227"/>
      <x:c r="M6" s="227"/>
      <x:c r="N6" s="227"/>
      <x:c r="O6" s="227"/>
      <x:c r="P6" s="227"/>
      <x:c r="Q6" s="227"/>
      <x:c r="R6" s="227"/>
      <x:c r="S6" s="227"/>
      <x:c r="T6" s="227"/>
      <x:c r="U6" s="227"/>
      <x:c r="V6" s="227"/>
      <x:c r="W6" s="227"/>
      <x:c r="X6" s="227"/>
      <x:c r="Y6" s="227"/>
      <x:c r="Z6" s="227"/>
    </x:row>
    <x:row r="7">
      <x:c r="A7" s="227" t="str">
        <x:v>Contribution per campaign</x:v>
      </x:c>
      <x:c r="B7" s="418" t="n">
        <x:f>Assumptions!B88</x:f>
        <x:v>77400</x:v>
      </x:c>
      <x:c r="C7" s="418" t="n">
        <x:v>77400</x:v>
      </x:c>
      <x:c r="D7" s="227" t="str">
        <x:f>IF(ABS(B7-C7)&lt;0.01,"PASS","FAIL")</x:f>
        <x:v>PASS</x:v>
      </x:c>
      <x:c r="E7" s="227" t="str">
        <x:v>Campaign model</x:v>
      </x:c>
      <x:c r="F7" s="227"/>
      <x:c r="G7" s="227"/>
      <x:c r="H7" s="227"/>
      <x:c r="I7" s="227"/>
      <x:c r="J7" s="227"/>
      <x:c r="K7" s="227"/>
      <x:c r="L7" s="227"/>
      <x:c r="M7" s="227"/>
      <x:c r="N7" s="227"/>
      <x:c r="O7" s="227"/>
      <x:c r="P7" s="227"/>
      <x:c r="Q7" s="227"/>
      <x:c r="R7" s="227"/>
      <x:c r="S7" s="227"/>
      <x:c r="T7" s="227"/>
      <x:c r="U7" s="227"/>
      <x:c r="V7" s="227"/>
      <x:c r="W7" s="227"/>
      <x:c r="X7" s="227"/>
      <x:c r="Y7" s="227"/>
      <x:c r="Z7" s="227"/>
    </x:row>
    <x:row r="8">
      <x:c r="A8" s="227" t="str">
        <x:v>Scenario 1 closing cash non-negative</x:v>
      </x:c>
      <x:c r="B8" s="302" t="n">
        <x:f>MIN('Scenario 1 Organic'!B78:V78)</x:f>
        <x:v>0</x:v>
      </x:c>
      <x:c r="C8" s="302" t="n">
        <x:v>0</x:v>
      </x:c>
      <x:c r="D8" s="227" t="str">
        <x:f>IF(B8&gt;=C8,"PASS","FAIL")</x:f>
        <x:v>PASS</x:v>
      </x:c>
      <x:c r="E8" s="227" t="str">
        <x:v>Liquidity</x:v>
      </x:c>
      <x:c r="F8" s="227"/>
      <x:c r="G8" s="227"/>
      <x:c r="H8" s="227"/>
      <x:c r="I8" s="227"/>
      <x:c r="J8" s="227"/>
      <x:c r="K8" s="227"/>
      <x:c r="L8" s="227"/>
      <x:c r="M8" s="227"/>
      <x:c r="N8" s="227"/>
      <x:c r="O8" s="227"/>
      <x:c r="P8" s="227"/>
      <x:c r="Q8" s="227"/>
      <x:c r="R8" s="227"/>
      <x:c r="S8" s="227"/>
      <x:c r="T8" s="227"/>
      <x:c r="U8" s="227"/>
      <x:c r="V8" s="227"/>
      <x:c r="W8" s="227"/>
      <x:c r="X8" s="227"/>
      <x:c r="Y8" s="227"/>
      <x:c r="Z8" s="227"/>
    </x:row>
    <x:row r="9">
      <x:c r="A9" s="227" t="str">
        <x:v>Scenario 2 closing cash non-negative</x:v>
      </x:c>
      <x:c r="B9" s="302" t="n">
        <x:f>MIN('Scenario 2 Fund'!B78:V78)</x:f>
        <x:v>0</x:v>
      </x:c>
      <x:c r="C9" s="302" t="n">
        <x:v>0</x:v>
      </x:c>
      <x:c r="D9" s="227" t="str">
        <x:f>IF(B9&gt;=C9,"PASS","FAIL")</x:f>
        <x:v>PASS</x:v>
      </x:c>
      <x:c r="E9" s="227" t="str">
        <x:v>Liquidity</x:v>
      </x:c>
      <x:c r="F9" s="227"/>
      <x:c r="G9" s="227"/>
      <x:c r="H9" s="227"/>
      <x:c r="I9" s="227"/>
      <x:c r="J9" s="227"/>
      <x:c r="K9" s="227"/>
      <x:c r="L9" s="227"/>
      <x:c r="M9" s="227"/>
      <x:c r="N9" s="227"/>
      <x:c r="O9" s="227"/>
      <x:c r="P9" s="227"/>
      <x:c r="Q9" s="227"/>
      <x:c r="R9" s="227"/>
      <x:c r="S9" s="227"/>
      <x:c r="T9" s="227"/>
      <x:c r="U9" s="227"/>
      <x:c r="V9" s="227"/>
      <x:c r="W9" s="227"/>
      <x:c r="X9" s="227"/>
      <x:c r="Y9" s="227"/>
      <x:c r="Z9" s="227"/>
    </x:row>
    <x:row r="10">
      <x:c r="A10" s="227" t="str">
        <x:v>Scenario 1 no monthly inventory stock-out</x:v>
      </x:c>
      <x:c r="B10" s="301" t="n">
        <x:f>MIN('Scenario 1 Organic'!B33:V33)</x:f>
        <x:v>0</x:v>
      </x:c>
      <x:c r="C10" s="301" t="n">
        <x:v>0</x:v>
      </x:c>
      <x:c r="D10" s="227" t="str">
        <x:f>IF(B10&gt;=C10,"PASS","FAIL")</x:f>
        <x:v>PASS</x:v>
      </x:c>
      <x:c r="E10" s="227" t="str">
        <x:v>Inventory</x:v>
      </x:c>
      <x:c r="F10" s="227"/>
      <x:c r="G10" s="227"/>
      <x:c r="H10" s="227"/>
      <x:c r="I10" s="227"/>
      <x:c r="J10" s="227"/>
      <x:c r="K10" s="227"/>
      <x:c r="L10" s="227"/>
      <x:c r="M10" s="227"/>
      <x:c r="N10" s="227"/>
      <x:c r="O10" s="227"/>
      <x:c r="P10" s="227"/>
      <x:c r="Q10" s="227"/>
      <x:c r="R10" s="227"/>
      <x:c r="S10" s="227"/>
      <x:c r="T10" s="227"/>
      <x:c r="U10" s="227"/>
      <x:c r="V10" s="227"/>
      <x:c r="W10" s="227"/>
      <x:c r="X10" s="227"/>
      <x:c r="Y10" s="227"/>
      <x:c r="Z10" s="227"/>
    </x:row>
    <x:row r="11">
      <x:c r="A11" s="227" t="str">
        <x:v>Scenario 2 no monthly inventory stock-out</x:v>
      </x:c>
      <x:c r="B11" s="227" t="n">
        <x:f>MIN('Scenario 2 Fund'!B33:V33)</x:f>
        <x:v>0</x:v>
      </x:c>
      <x:c r="C11" s="227" t="n">
        <x:v>0</x:v>
      </x:c>
      <x:c r="D11" s="227" t="str">
        <x:f>IF(B11&gt;=C11,"PASS","FAIL")</x:f>
        <x:v>PASS</x:v>
      </x:c>
      <x:c r="E11" s="227" t="str">
        <x:v>Inventory</x:v>
      </x:c>
      <x:c r="F11" s="227"/>
      <x:c r="G11" s="227"/>
      <x:c r="H11" s="227"/>
      <x:c r="I11" s="227"/>
      <x:c r="J11" s="227"/>
      <x:c r="K11" s="227"/>
      <x:c r="L11" s="227"/>
      <x:c r="M11" s="227"/>
      <x:c r="N11" s="227"/>
      <x:c r="O11" s="227"/>
      <x:c r="P11" s="227"/>
      <x:c r="Q11" s="227"/>
      <x:c r="R11" s="227"/>
      <x:c r="S11" s="227"/>
      <x:c r="T11" s="227"/>
      <x:c r="U11" s="227"/>
      <x:c r="V11" s="227"/>
      <x:c r="W11" s="227"/>
      <x:c r="X11" s="227"/>
      <x:c r="Y11" s="227"/>
      <x:c r="Z11" s="227"/>
    </x:row>
    <x:row r="12">
      <x:c r="A12" s="227" t="str">
        <x:v>Scenario 1 OPEX schedule reconciliation</x:v>
      </x:c>
      <x:c r="B12" s="227" t="n">
        <x:f>SUM('Personnel &amp; OPEX'!B26:V26)</x:f>
        <x:v>839100</x:v>
      </x:c>
      <x:c r="C12" s="227" t="n">
        <x:f>SUM('Scenario 1 Organic'!B67:V67)</x:f>
        <x:v>839100</x:v>
      </x:c>
      <x:c r="D12" s="227" t="str">
        <x:f>IF(ABS(B12-C12)&lt;0.01,"PASS","FAIL")</x:f>
        <x:v>PASS</x:v>
      </x:c>
      <x:c r="E12" s="227" t="str">
        <x:v>Personnel/OPEX</x:v>
      </x:c>
      <x:c r="F12" s="227"/>
      <x:c r="G12" s="227"/>
      <x:c r="H12" s="227"/>
      <x:c r="I12" s="227"/>
      <x:c r="J12" s="227"/>
      <x:c r="K12" s="227"/>
      <x:c r="L12" s="227"/>
      <x:c r="M12" s="227"/>
      <x:c r="N12" s="227"/>
      <x:c r="O12" s="227"/>
      <x:c r="P12" s="227"/>
      <x:c r="Q12" s="227"/>
      <x:c r="R12" s="227"/>
      <x:c r="S12" s="227"/>
      <x:c r="T12" s="227"/>
      <x:c r="U12" s="227"/>
      <x:c r="V12" s="227"/>
      <x:c r="W12" s="227"/>
      <x:c r="X12" s="227"/>
      <x:c r="Y12" s="227"/>
      <x:c r="Z12" s="227"/>
    </x:row>
    <x:row r="13">
      <x:c r="A13" s="227" t="str">
        <x:v>Scenario 2 OPEX schedule reconciliation</x:v>
      </x:c>
      <x:c r="B13" s="227" t="n">
        <x:f>SUM('Personnel &amp; OPEX'!B51:V51)</x:f>
        <x:v>2936849.5783135835</x:v>
      </x:c>
      <x:c r="C13" s="227" t="n">
        <x:f>SUM('Scenario 2 Fund'!B67:V67)</x:f>
        <x:v>2936849.5783135835</x:v>
      </x:c>
      <x:c r="D13" s="227" t="str">
        <x:f>IF(ABS(B13-C13)&lt;0.01,"PASS","FAIL")</x:f>
        <x:v>PASS</x:v>
      </x:c>
      <x:c r="E13" s="227" t="str">
        <x:v>Personnel/OPEX</x:v>
      </x:c>
      <x:c r="F13" s="227"/>
      <x:c r="G13" s="227"/>
      <x:c r="H13" s="227"/>
      <x:c r="I13" s="227"/>
      <x:c r="J13" s="227"/>
      <x:c r="K13" s="227"/>
      <x:c r="L13" s="227"/>
      <x:c r="M13" s="227"/>
      <x:c r="N13" s="227"/>
      <x:c r="O13" s="227"/>
      <x:c r="P13" s="227"/>
      <x:c r="Q13" s="227"/>
      <x:c r="R13" s="227"/>
      <x:c r="S13" s="227"/>
      <x:c r="T13" s="227"/>
      <x:c r="U13" s="227"/>
      <x:c r="V13" s="227"/>
      <x:c r="W13" s="227"/>
      <x:c r="X13" s="227"/>
      <x:c r="Y13" s="227"/>
      <x:c r="Z13" s="227"/>
    </x:row>
    <x:row r="14">
      <x:c r="A14" s="227" t="str">
        <x:v>Scenario 2 OPEX scales above 500</x:v>
      </x:c>
      <x:c r="B14" s="227" t="n">
        <x:f>'Scenario 2 Fund'!V67</x:f>
        <x:v>514832.12633281323</x:v>
      </x:c>
      <x:c r="C14" s="227" t="n">
        <x:v>288080</x:v>
      </x:c>
      <x:c r="D14" s="227" t="str">
        <x:f>IF(B14&gt;C14,"PASS","FAIL")</x:f>
        <x:v>PASS</x:v>
      </x:c>
      <x:c r="E14" s="227" t="str">
        <x:v>Prevents flat mature OPEX</x:v>
      </x:c>
      <x:c r="F14" s="227"/>
      <x:c r="G14" s="227"/>
      <x:c r="H14" s="227"/>
      <x:c r="I14" s="227"/>
      <x:c r="J14" s="227"/>
      <x:c r="K14" s="227"/>
      <x:c r="L14" s="227"/>
      <x:c r="M14" s="227"/>
      <x:c r="N14" s="227"/>
      <x:c r="O14" s="227"/>
      <x:c r="P14" s="227"/>
      <x:c r="Q14" s="227"/>
      <x:c r="R14" s="227"/>
      <x:c r="S14" s="227"/>
      <x:c r="T14" s="227"/>
      <x:c r="U14" s="227"/>
      <x:c r="V14" s="227"/>
      <x:c r="W14" s="227"/>
      <x:c r="X14" s="227"/>
      <x:c r="Y14" s="227"/>
      <x:c r="Z14" s="227"/>
    </x:row>
    <x:row r="15">
      <x:c r="A15" s="227" t="str">
        <x:v>Scenario 1 EBITDA reconciliation</x:v>
      </x:c>
      <x:c r="B15" s="227" t="n">
        <x:f>'Professional P&amp;L'!B47</x:f>
        <x:v>5324319.825</x:v>
      </x:c>
      <x:c r="C15" s="227" t="n">
        <x:f>SUM('Scenario 1 Organic'!B68:V68)</x:f>
        <x:v>5324319.825</x:v>
      </x:c>
      <x:c r="D15" s="227" t="str">
        <x:f>IF(ABS(B15-C15)&lt;0.01,"PASS","FAIL")</x:f>
        <x:v>PASS</x:v>
      </x:c>
      <x:c r="E15" s="227" t="str">
        <x:v>P&amp;L bridge</x:v>
      </x:c>
      <x:c r="F15" s="227"/>
      <x:c r="G15" s="227"/>
      <x:c r="H15" s="227"/>
      <x:c r="I15" s="227"/>
      <x:c r="J15" s="227"/>
      <x:c r="K15" s="227"/>
      <x:c r="L15" s="227"/>
      <x:c r="M15" s="227"/>
      <x:c r="N15" s="227"/>
      <x:c r="O15" s="227"/>
      <x:c r="P15" s="227"/>
      <x:c r="Q15" s="227"/>
      <x:c r="R15" s="227"/>
      <x:c r="S15" s="227"/>
      <x:c r="T15" s="227"/>
      <x:c r="U15" s="227"/>
      <x:c r="V15" s="227"/>
      <x:c r="W15" s="227"/>
      <x:c r="X15" s="227"/>
      <x:c r="Y15" s="227"/>
      <x:c r="Z15" s="227"/>
    </x:row>
    <x:row r="16">
      <x:c r="A16" s="227" t="str">
        <x:v>Scenario 2 EBITDA reconciliation</x:v>
      </x:c>
      <x:c r="B16" s="227" t="n">
        <x:f>'Professional P&amp;L'!C47</x:f>
        <x:v>19653967.340436418</x:v>
      </x:c>
      <x:c r="C16" s="227" t="n">
        <x:f>SUM('Scenario 2 Fund'!B68:V68)</x:f>
        <x:v>19653967.340436418</x:v>
      </x:c>
      <x:c r="D16" s="227" t="str">
        <x:f>IF(ABS(B16-C16)&lt;0.01,"PASS","FAIL")</x:f>
        <x:v>PASS</x:v>
      </x:c>
      <x:c r="E16" s="227" t="str">
        <x:v>P&amp;L bridge</x:v>
      </x:c>
      <x:c r="F16" s="227"/>
      <x:c r="G16" s="227"/>
      <x:c r="H16" s="227"/>
      <x:c r="I16" s="227"/>
      <x:c r="J16" s="227"/>
      <x:c r="K16" s="227"/>
      <x:c r="L16" s="227"/>
      <x:c r="M16" s="227"/>
      <x:c r="N16" s="227"/>
      <x:c r="O16" s="227"/>
      <x:c r="P16" s="227"/>
      <x:c r="Q16" s="227"/>
      <x:c r="R16" s="227"/>
      <x:c r="S16" s="227"/>
      <x:c r="T16" s="227"/>
      <x:c r="U16" s="227"/>
      <x:c r="V16" s="227"/>
      <x:c r="W16" s="227"/>
      <x:c r="X16" s="227"/>
      <x:c r="Y16" s="227"/>
      <x:c r="Z16" s="227"/>
    </x:row>
    <x:row r="17">
      <x:c r="A17" s="227" t="str">
        <x:v>Scenario 1 tax reserve non-negative</x:v>
      </x:c>
      <x:c r="B17" s="227" t="n">
        <x:f>'Working Capital'!B14</x:f>
        <x:v>1324847.40625</x:v>
      </x:c>
      <x:c r="C17" s="227" t="n">
        <x:v>0</x:v>
      </x:c>
      <x:c r="D17" s="227" t="str">
        <x:f>IF(B17&gt;=C17,"PASS","FAIL")</x:f>
        <x:v>PASS</x:v>
      </x:c>
      <x:c r="E17" s="227" t="str">
        <x:v>Tax provision</x:v>
      </x:c>
      <x:c r="F17" s="227"/>
      <x:c r="G17" s="227"/>
      <x:c r="H17" s="227"/>
      <x:c r="I17" s="227"/>
      <x:c r="J17" s="227"/>
      <x:c r="K17" s="227"/>
      <x:c r="L17" s="227"/>
      <x:c r="M17" s="227"/>
      <x:c r="N17" s="227"/>
      <x:c r="O17" s="227"/>
      <x:c r="P17" s="227"/>
      <x:c r="Q17" s="227"/>
      <x:c r="R17" s="227"/>
      <x:c r="S17" s="227"/>
      <x:c r="T17" s="227"/>
      <x:c r="U17" s="227"/>
      <x:c r="V17" s="227"/>
      <x:c r="W17" s="227"/>
      <x:c r="X17" s="227"/>
      <x:c r="Y17" s="227"/>
      <x:c r="Z17" s="227"/>
    </x:row>
    <x:row r="18">
      <x:c r="A18" s="227" t="str">
        <x:v>Scenario 2 tax reserve non-negative</x:v>
      </x:c>
      <x:c r="B18" s="227" t="n">
        <x:f>'Working Capital'!C14</x:f>
        <x:v>4858509.937886883</x:v>
      </x:c>
      <x:c r="C18" s="227" t="n">
        <x:v>0</x:v>
      </x:c>
      <x:c r="D18" s="227" t="str">
        <x:f>IF(B18&gt;=C18,"PASS","FAIL")</x:f>
        <x:v>PASS</x:v>
      </x:c>
      <x:c r="E18" s="227" t="str">
        <x:v>Tax provision</x:v>
      </x:c>
      <x:c r="F18" s="227"/>
      <x:c r="G18" s="227"/>
      <x:c r="H18" s="227"/>
      <x:c r="I18" s="227"/>
      <x:c r="J18" s="227"/>
      <x:c r="K18" s="227"/>
      <x:c r="L18" s="227"/>
      <x:c r="M18" s="227"/>
      <x:c r="N18" s="227"/>
      <x:c r="O18" s="227"/>
      <x:c r="P18" s="227"/>
      <x:c r="Q18" s="227"/>
      <x:c r="R18" s="227"/>
      <x:c r="S18" s="227"/>
      <x:c r="T18" s="227"/>
      <x:c r="U18" s="227"/>
      <x:c r="V18" s="227"/>
      <x:c r="W18" s="227"/>
      <x:c r="X18" s="227"/>
      <x:c r="Y18" s="227"/>
      <x:c r="Z18" s="227"/>
    </x:row>
    <x:row r="19">
      <x:c r="A19" s="227" t="str">
        <x:v>Scenario 1 liquidity after reserves positive</x:v>
      </x:c>
      <x:c r="B19" s="227" t="n">
        <x:f>'Working Capital'!B16</x:f>
        <x:v>1869695.1754166665</x:v>
      </x:c>
      <x:c r="C19" s="227" t="n">
        <x:v>0</x:v>
      </x:c>
      <x:c r="D19" s="227" t="str">
        <x:f>IF(B19&gt;=C19,"PASS","FAIL")</x:f>
        <x:v>PASS</x:v>
      </x:c>
      <x:c r="E19" s="227" t="str">
        <x:v>Conservative liquidity</x:v>
      </x:c>
      <x:c r="F19" s="227"/>
      <x:c r="G19" s="227"/>
      <x:c r="H19" s="227"/>
      <x:c r="I19" s="227"/>
      <x:c r="J19" s="227"/>
      <x:c r="K19" s="227"/>
      <x:c r="L19" s="227"/>
      <x:c r="M19" s="227"/>
      <x:c r="N19" s="227"/>
      <x:c r="O19" s="227"/>
      <x:c r="P19" s="227"/>
      <x:c r="Q19" s="227"/>
      <x:c r="R19" s="227"/>
      <x:c r="S19" s="227"/>
      <x:c r="T19" s="227"/>
      <x:c r="U19" s="227"/>
      <x:c r="V19" s="227"/>
      <x:c r="W19" s="227"/>
      <x:c r="X19" s="227"/>
      <x:c r="Y19" s="227"/>
      <x:c r="Z19" s="227"/>
    </x:row>
    <x:row r="20">
      <x:c r="A20" s="227" t="str">
        <x:v>Scenario 2 liquidity after reserves positive</x:v>
      </x:c>
      <x:c r="B20" s="227" t="n">
        <x:f>'Working Capital'!C16</x:f>
        <x:v>15789145.463382864</x:v>
      </x:c>
      <x:c r="C20" s="227" t="n">
        <x:v>0</x:v>
      </x:c>
      <x:c r="D20" s="227" t="str">
        <x:f>IF(B20&gt;=C20,"PASS","FAIL")</x:f>
        <x:v>PASS</x:v>
      </x:c>
      <x:c r="E20" s="227" t="str">
        <x:v>Conservative liquidity</x:v>
      </x:c>
      <x:c r="F20" s="227"/>
      <x:c r="G20" s="227"/>
      <x:c r="H20" s="227"/>
      <x:c r="I20" s="227"/>
      <x:c r="J20" s="227"/>
      <x:c r="K20" s="227"/>
      <x:c r="L20" s="227"/>
      <x:c r="M20" s="227"/>
      <x:c r="N20" s="227"/>
      <x:c r="O20" s="227"/>
      <x:c r="P20" s="227"/>
      <x:c r="Q20" s="227"/>
      <x:c r="R20" s="227"/>
      <x:c r="S20" s="227"/>
      <x:c r="T20" s="227"/>
      <x:c r="U20" s="227"/>
      <x:c r="V20" s="227"/>
      <x:c r="W20" s="227"/>
      <x:c r="X20" s="227"/>
      <x:c r="Y20" s="227"/>
      <x:c r="Z20" s="227"/>
    </x:row>
    <x:row r="21">
      <x:c r="A21" s="227" t="str">
        <x:v>Scenario 1 machine pipeline reconciliation</x:v>
      </x:c>
      <x:c r="B21" s="227" t="n">
        <x:f>'Scenario 1 Organic'!V11-'Scenario 1 Organic'!V15</x:f>
        <x:v>400</x:v>
      </x:c>
      <x:c r="C21" s="227" t="n">
        <x:f>'Working Capital'!B8</x:f>
        <x:v>400</x:v>
      </x:c>
      <x:c r="D21" s="227" t="str">
        <x:f>IF(B21=C21,"PASS","FAIL")</x:f>
        <x:v>PASS</x:v>
      </x:c>
      <x:c r="E21" s="227" t="str">
        <x:v>Deployment WIP</x:v>
      </x:c>
      <x:c r="F21" s="227"/>
      <x:c r="G21" s="227"/>
      <x:c r="H21" s="227"/>
      <x:c r="I21" s="227"/>
      <x:c r="J21" s="227"/>
      <x:c r="K21" s="227"/>
      <x:c r="L21" s="227"/>
      <x:c r="M21" s="227"/>
      <x:c r="N21" s="227"/>
      <x:c r="O21" s="227"/>
      <x:c r="P21" s="227"/>
      <x:c r="Q21" s="227"/>
      <x:c r="R21" s="227"/>
      <x:c r="S21" s="227"/>
      <x:c r="T21" s="227"/>
      <x:c r="U21" s="227"/>
      <x:c r="V21" s="227"/>
      <x:c r="W21" s="227"/>
      <x:c r="X21" s="227"/>
      <x:c r="Y21" s="227"/>
      <x:c r="Z21" s="227"/>
    </x:row>
    <x:row r="22">
      <x:c r="A22" s="227" t="str">
        <x:v>Scenario 2 machine pipeline reconciliation</x:v>
      </x:c>
      <x:c r="B22" s="227" t="n">
        <x:f>'Scenario 2 Fund'!V11-'Scenario 2 Fund'!V15</x:f>
        <x:v>0</x:v>
      </x:c>
      <x:c r="C22" s="227" t="n">
        <x:f>'Working Capital'!C8</x:f>
        <x:v>0</x:v>
      </x:c>
      <x:c r="D22" s="227" t="str">
        <x:f>IF(B22=C22,"PASS","FAIL")</x:f>
        <x:v>PASS</x:v>
      </x:c>
      <x:c r="E22" s="227" t="str">
        <x:v>Deployment WIP</x:v>
      </x:c>
      <x:c r="F22" s="227"/>
      <x:c r="G22" s="227"/>
      <x:c r="H22" s="227"/>
      <x:c r="I22" s="227"/>
      <x:c r="J22" s="227"/>
      <x:c r="K22" s="227"/>
      <x:c r="L22" s="227"/>
      <x:c r="M22" s="227"/>
      <x:c r="N22" s="227"/>
      <x:c r="O22" s="227"/>
      <x:c r="P22" s="227"/>
      <x:c r="Q22" s="227"/>
      <x:c r="R22" s="227"/>
      <x:c r="S22" s="227"/>
      <x:c r="T22" s="227"/>
      <x:c r="U22" s="227"/>
      <x:c r="V22" s="227"/>
      <x:c r="W22" s="227"/>
      <x:c r="X22" s="227"/>
      <x:c r="Y22" s="227"/>
      <x:c r="Z22" s="227"/>
    </x:row>
    <x:row r="23">
      <x:c r="A23" s="227"/>
      <x:c r="B23" s="227"/>
      <x:c r="C23" s="227"/>
      <x:c r="D23" s="227"/>
      <x:c r="E23" s="227"/>
      <x:c r="F23" s="227"/>
      <x:c r="G23" s="227"/>
      <x:c r="H23" s="227"/>
      <x:c r="I23" s="227"/>
      <x:c r="J23" s="227"/>
      <x:c r="K23" s="227"/>
      <x:c r="L23" s="227"/>
      <x:c r="M23" s="227"/>
      <x:c r="N23" s="227"/>
      <x:c r="O23" s="227"/>
      <x:c r="P23" s="227"/>
      <x:c r="Q23" s="227"/>
      <x:c r="R23" s="227"/>
      <x:c r="S23" s="227"/>
      <x:c r="T23" s="227"/>
      <x:c r="U23" s="227"/>
      <x:c r="V23" s="227"/>
      <x:c r="W23" s="227"/>
      <x:c r="X23" s="227"/>
      <x:c r="Y23" s="227"/>
      <x:c r="Z23" s="227"/>
    </x:row>
    <x:row r="24">
      <x:c r="A24" s="227"/>
      <x:c r="B24" s="227"/>
      <x:c r="C24" s="227"/>
      <x:c r="D24" s="227"/>
      <x:c r="E24" s="227"/>
      <x:c r="F24" s="227"/>
      <x:c r="G24" s="227"/>
      <x:c r="H24" s="227"/>
      <x:c r="I24" s="227"/>
      <x:c r="J24" s="227"/>
      <x:c r="K24" s="227"/>
      <x:c r="L24" s="227"/>
      <x:c r="M24" s="227"/>
      <x:c r="N24" s="227"/>
      <x:c r="O24" s="227"/>
      <x:c r="P24" s="227"/>
      <x:c r="Q24" s="227"/>
      <x:c r="R24" s="227"/>
      <x:c r="S24" s="227"/>
      <x:c r="T24" s="227"/>
      <x:c r="U24" s="227"/>
      <x:c r="V24" s="227"/>
      <x:c r="W24" s="227"/>
      <x:c r="X24" s="227"/>
      <x:c r="Y24" s="227"/>
      <x:c r="Z24" s="227"/>
    </x:row>
    <x:row r="25">
      <x:c r="A25" s="227"/>
      <x:c r="B25" s="227"/>
      <x:c r="C25" s="227"/>
      <x:c r="D25" s="227"/>
      <x:c r="E25" s="227"/>
      <x:c r="F25" s="227"/>
      <x:c r="G25" s="227"/>
      <x:c r="H25" s="227"/>
      <x:c r="I25" s="227"/>
      <x:c r="J25" s="227"/>
      <x:c r="K25" s="227"/>
      <x:c r="L25" s="227"/>
      <x:c r="M25" s="227"/>
      <x:c r="N25" s="227"/>
      <x:c r="O25" s="227"/>
      <x:c r="P25" s="227"/>
      <x:c r="Q25" s="227"/>
      <x:c r="R25" s="227"/>
      <x:c r="S25" s="227"/>
      <x:c r="T25" s="227"/>
      <x:c r="U25" s="227"/>
      <x:c r="V25" s="227"/>
      <x:c r="W25" s="227"/>
      <x:c r="X25" s="227"/>
      <x:c r="Y25" s="227"/>
      <x:c r="Z25" s="227"/>
    </x:row>
    <x:row r="26">
      <x:c r="A26" s="227"/>
      <x:c r="B26" s="227"/>
      <x:c r="C26" s="227"/>
      <x:c r="D26" s="227"/>
      <x:c r="E26" s="227"/>
      <x:c r="F26" s="227"/>
      <x:c r="G26" s="227"/>
      <x:c r="H26" s="227"/>
      <x:c r="I26" s="227"/>
      <x:c r="J26" s="227"/>
      <x:c r="K26" s="227"/>
      <x:c r="L26" s="227"/>
      <x:c r="M26" s="227"/>
      <x:c r="N26" s="227"/>
      <x:c r="O26" s="227"/>
      <x:c r="P26" s="227"/>
      <x:c r="Q26" s="227"/>
      <x:c r="R26" s="227"/>
      <x:c r="S26" s="227"/>
      <x:c r="T26" s="227"/>
      <x:c r="U26" s="227"/>
      <x:c r="V26" s="227"/>
      <x:c r="W26" s="227"/>
      <x:c r="X26" s="227"/>
      <x:c r="Y26" s="227"/>
      <x:c r="Z26" s="227"/>
    </x:row>
    <x:row r="27">
      <x:c r="A27" s="227"/>
      <x:c r="B27" s="227"/>
      <x:c r="C27" s="227"/>
      <x:c r="D27" s="227"/>
      <x:c r="E27" s="227"/>
      <x:c r="F27" s="227"/>
      <x:c r="G27" s="227"/>
      <x:c r="H27" s="227"/>
      <x:c r="I27" s="227"/>
      <x:c r="J27" s="227"/>
      <x:c r="K27" s="227"/>
      <x:c r="L27" s="227"/>
      <x:c r="M27" s="227"/>
      <x:c r="N27" s="227"/>
      <x:c r="O27" s="227"/>
      <x:c r="P27" s="227"/>
      <x:c r="Q27" s="227"/>
      <x:c r="R27" s="227"/>
      <x:c r="S27" s="227"/>
      <x:c r="T27" s="227"/>
      <x:c r="U27" s="227"/>
      <x:c r="V27" s="227"/>
      <x:c r="W27" s="227"/>
      <x:c r="X27" s="227"/>
      <x:c r="Y27" s="227"/>
      <x:c r="Z27" s="227"/>
    </x:row>
    <x:row r="28">
      <x:c r="A28" s="227"/>
      <x:c r="B28" s="227"/>
      <x:c r="C28" s="227"/>
      <x:c r="D28" s="227"/>
      <x:c r="E28" s="227"/>
      <x:c r="F28" s="227"/>
      <x:c r="G28" s="227"/>
      <x:c r="H28" s="227"/>
      <x:c r="I28" s="227"/>
      <x:c r="J28" s="227"/>
      <x:c r="K28" s="227"/>
      <x:c r="L28" s="227"/>
      <x:c r="M28" s="227"/>
      <x:c r="N28" s="227"/>
      <x:c r="O28" s="227"/>
      <x:c r="P28" s="227"/>
      <x:c r="Q28" s="227"/>
      <x:c r="R28" s="227"/>
      <x:c r="S28" s="227"/>
      <x:c r="T28" s="227"/>
      <x:c r="U28" s="227"/>
      <x:c r="V28" s="227"/>
      <x:c r="W28" s="227"/>
      <x:c r="X28" s="227"/>
      <x:c r="Y28" s="227"/>
      <x:c r="Z28" s="227"/>
    </x:row>
    <x:row r="29">
      <x:c r="A29" s="227"/>
      <x:c r="B29" s="227"/>
      <x:c r="C29" s="227"/>
      <x:c r="D29" s="227"/>
      <x:c r="E29" s="227"/>
      <x:c r="F29" s="227"/>
      <x:c r="G29" s="227"/>
      <x:c r="H29" s="227"/>
      <x:c r="I29" s="227"/>
      <x:c r="J29" s="227"/>
      <x:c r="K29" s="227"/>
      <x:c r="L29" s="227"/>
      <x:c r="M29" s="227"/>
      <x:c r="N29" s="227"/>
      <x:c r="O29" s="227"/>
      <x:c r="P29" s="227"/>
      <x:c r="Q29" s="227"/>
      <x:c r="R29" s="227"/>
      <x:c r="S29" s="227"/>
      <x:c r="T29" s="227"/>
      <x:c r="U29" s="227"/>
      <x:c r="V29" s="227"/>
      <x:c r="W29" s="227"/>
      <x:c r="X29" s="227"/>
      <x:c r="Y29" s="227"/>
      <x:c r="Z29" s="227"/>
    </x:row>
    <x:row r="30">
      <x:c r="A30" s="227"/>
      <x:c r="B30" s="227"/>
      <x:c r="C30" s="227"/>
      <x:c r="D30" s="227"/>
      <x:c r="E30" s="227"/>
      <x:c r="F30" s="227"/>
      <x:c r="G30" s="227"/>
      <x:c r="H30" s="227"/>
      <x:c r="I30" s="227"/>
      <x:c r="J30" s="227"/>
      <x:c r="K30" s="227"/>
      <x:c r="L30" s="227"/>
      <x:c r="M30" s="227"/>
      <x:c r="N30" s="227"/>
      <x:c r="O30" s="227"/>
      <x:c r="P30" s="227"/>
      <x:c r="Q30" s="227"/>
      <x:c r="R30" s="227"/>
      <x:c r="S30" s="227"/>
      <x:c r="T30" s="227"/>
      <x:c r="U30" s="227"/>
      <x:c r="V30" s="227"/>
      <x:c r="W30" s="227"/>
      <x:c r="X30" s="227"/>
      <x:c r="Y30" s="227"/>
      <x:c r="Z30" s="227"/>
    </x:row>
    <x:row r="31">
      <x:c r="A31" s="227"/>
      <x:c r="B31" s="227"/>
      <x:c r="C31" s="227"/>
      <x:c r="D31" s="227"/>
      <x:c r="E31" s="227"/>
      <x:c r="F31" s="227"/>
      <x:c r="G31" s="227"/>
      <x:c r="H31" s="227"/>
      <x:c r="I31" s="227"/>
      <x:c r="J31" s="227"/>
      <x:c r="K31" s="227"/>
      <x:c r="L31" s="227"/>
      <x:c r="M31" s="227"/>
      <x:c r="N31" s="227"/>
      <x:c r="O31" s="227"/>
      <x:c r="P31" s="227"/>
      <x:c r="Q31" s="227"/>
      <x:c r="R31" s="227"/>
      <x:c r="S31" s="227"/>
      <x:c r="T31" s="227"/>
      <x:c r="U31" s="227"/>
      <x:c r="V31" s="227"/>
      <x:c r="W31" s="227"/>
      <x:c r="X31" s="227"/>
      <x:c r="Y31" s="227"/>
      <x:c r="Z31" s="227"/>
    </x:row>
    <x:row r="32">
      <x:c r="A32" s="227"/>
      <x:c r="B32" s="227"/>
      <x:c r="C32" s="227"/>
      <x:c r="D32" s="227"/>
      <x:c r="E32" s="227"/>
      <x:c r="F32" s="227"/>
      <x:c r="G32" s="227"/>
      <x:c r="H32" s="227"/>
      <x:c r="I32" s="227"/>
      <x:c r="J32" s="227"/>
      <x:c r="K32" s="227"/>
      <x:c r="L32" s="227"/>
      <x:c r="M32" s="227"/>
      <x:c r="N32" s="227"/>
      <x:c r="O32" s="227"/>
      <x:c r="P32" s="227"/>
      <x:c r="Q32" s="227"/>
      <x:c r="R32" s="227"/>
      <x:c r="S32" s="227"/>
      <x:c r="T32" s="227"/>
      <x:c r="U32" s="227"/>
      <x:c r="V32" s="227"/>
      <x:c r="W32" s="227"/>
      <x:c r="X32" s="227"/>
      <x:c r="Y32" s="227"/>
      <x:c r="Z32" s="227"/>
    </x:row>
    <x:row r="33">
      <x:c r="A33" s="227"/>
      <x:c r="B33" s="227"/>
      <x:c r="C33" s="227"/>
      <x:c r="D33" s="227"/>
      <x:c r="E33" s="227"/>
      <x:c r="F33" s="227"/>
      <x:c r="G33" s="227"/>
      <x:c r="H33" s="227"/>
      <x:c r="I33" s="227"/>
      <x:c r="J33" s="227"/>
      <x:c r="K33" s="227"/>
      <x:c r="L33" s="227"/>
      <x:c r="M33" s="227"/>
      <x:c r="N33" s="227"/>
      <x:c r="O33" s="227"/>
      <x:c r="P33" s="227"/>
      <x:c r="Q33" s="227"/>
      <x:c r="R33" s="227"/>
      <x:c r="S33" s="227"/>
      <x:c r="T33" s="227"/>
      <x:c r="U33" s="227"/>
      <x:c r="V33" s="227"/>
      <x:c r="W33" s="227"/>
      <x:c r="X33" s="227"/>
      <x:c r="Y33" s="227"/>
      <x:c r="Z33" s="227"/>
    </x:row>
    <x:row r="34">
      <x:c r="A34" s="227"/>
      <x:c r="B34" s="227"/>
      <x:c r="C34" s="227"/>
      <x:c r="D34" s="227"/>
      <x:c r="E34" s="227"/>
      <x:c r="F34" s="227"/>
      <x:c r="G34" s="227"/>
      <x:c r="H34" s="227"/>
      <x:c r="I34" s="227"/>
      <x:c r="J34" s="227"/>
      <x:c r="K34" s="227"/>
      <x:c r="L34" s="227"/>
      <x:c r="M34" s="227"/>
      <x:c r="N34" s="227"/>
      <x:c r="O34" s="227"/>
      <x:c r="P34" s="227"/>
      <x:c r="Q34" s="227"/>
      <x:c r="R34" s="227"/>
      <x:c r="S34" s="227"/>
      <x:c r="T34" s="227"/>
      <x:c r="U34" s="227"/>
      <x:c r="V34" s="227"/>
      <x:c r="W34" s="227"/>
      <x:c r="X34" s="227"/>
      <x:c r="Y34" s="227"/>
      <x:c r="Z34" s="227"/>
    </x:row>
    <x:row r="35">
      <x:c r="A35" s="227"/>
      <x:c r="B35" s="227"/>
      <x:c r="C35" s="227"/>
      <x:c r="D35" s="227"/>
      <x:c r="E35" s="227"/>
      <x:c r="F35" s="227"/>
      <x:c r="G35" s="227"/>
      <x:c r="H35" s="227"/>
      <x:c r="I35" s="227"/>
      <x:c r="J35" s="227"/>
      <x:c r="K35" s="227"/>
      <x:c r="L35" s="227"/>
      <x:c r="M35" s="227"/>
      <x:c r="N35" s="227"/>
      <x:c r="O35" s="227"/>
      <x:c r="P35" s="227"/>
      <x:c r="Q35" s="227"/>
      <x:c r="R35" s="227"/>
      <x:c r="S35" s="227"/>
      <x:c r="T35" s="227"/>
      <x:c r="U35" s="227"/>
      <x:c r="V35" s="227"/>
      <x:c r="W35" s="227"/>
      <x:c r="X35" s="227"/>
      <x:c r="Y35" s="227"/>
      <x:c r="Z35" s="227"/>
    </x:row>
    <x:row r="36">
      <x:c r="A36" s="227"/>
      <x:c r="B36" s="227"/>
      <x:c r="C36" s="227"/>
      <x:c r="D36" s="227"/>
      <x:c r="E36" s="227"/>
      <x:c r="F36" s="227"/>
      <x:c r="G36" s="227"/>
      <x:c r="H36" s="227"/>
      <x:c r="I36" s="227"/>
      <x:c r="J36" s="227"/>
      <x:c r="K36" s="227"/>
      <x:c r="L36" s="227"/>
      <x:c r="M36" s="227"/>
      <x:c r="N36" s="227"/>
      <x:c r="O36" s="227"/>
      <x:c r="P36" s="227"/>
      <x:c r="Q36" s="227"/>
      <x:c r="R36" s="227"/>
      <x:c r="S36" s="227"/>
      <x:c r="T36" s="227"/>
      <x:c r="U36" s="227"/>
      <x:c r="V36" s="227"/>
      <x:c r="W36" s="227"/>
      <x:c r="X36" s="227"/>
      <x:c r="Y36" s="227"/>
      <x:c r="Z36" s="227"/>
    </x:row>
    <x:row r="37">
      <x:c r="A37" s="227"/>
      <x:c r="B37" s="227"/>
      <x:c r="C37" s="227"/>
      <x:c r="D37" s="227"/>
      <x:c r="E37" s="227"/>
      <x:c r="F37" s="227"/>
      <x:c r="G37" s="227"/>
      <x:c r="H37" s="227"/>
      <x:c r="I37" s="227"/>
      <x:c r="J37" s="227"/>
      <x:c r="K37" s="227"/>
      <x:c r="L37" s="227"/>
      <x:c r="M37" s="227"/>
      <x:c r="N37" s="227"/>
      <x:c r="O37" s="227"/>
      <x:c r="P37" s="227"/>
      <x:c r="Q37" s="227"/>
      <x:c r="R37" s="227"/>
      <x:c r="S37" s="227"/>
      <x:c r="T37" s="227"/>
      <x:c r="U37" s="227"/>
      <x:c r="V37" s="227"/>
      <x:c r="W37" s="227"/>
      <x:c r="X37" s="227"/>
      <x:c r="Y37" s="227"/>
      <x:c r="Z37" s="227"/>
    </x:row>
    <x:row r="38">
      <x:c r="A38" s="227"/>
      <x:c r="B38" s="227"/>
      <x:c r="C38" s="227"/>
      <x:c r="D38" s="227"/>
      <x:c r="E38" s="227"/>
      <x:c r="F38" s="227"/>
      <x:c r="G38" s="227"/>
      <x:c r="H38" s="227"/>
      <x:c r="I38" s="227"/>
      <x:c r="J38" s="227"/>
      <x:c r="K38" s="227"/>
      <x:c r="L38" s="227"/>
      <x:c r="M38" s="227"/>
      <x:c r="N38" s="227"/>
      <x:c r="O38" s="227"/>
      <x:c r="P38" s="227"/>
      <x:c r="Q38" s="227"/>
      <x:c r="R38" s="227"/>
      <x:c r="S38" s="227"/>
      <x:c r="T38" s="227"/>
      <x:c r="U38" s="227"/>
      <x:c r="V38" s="227"/>
      <x:c r="W38" s="227"/>
      <x:c r="X38" s="227"/>
      <x:c r="Y38" s="227"/>
      <x:c r="Z38" s="227"/>
    </x:row>
    <x:row r="39">
      <x:c r="A39" s="227"/>
      <x:c r="B39" s="227"/>
      <x:c r="C39" s="227"/>
      <x:c r="D39" s="227"/>
      <x:c r="E39" s="227"/>
      <x:c r="F39" s="227"/>
      <x:c r="G39" s="227"/>
      <x:c r="H39" s="227"/>
      <x:c r="I39" s="227"/>
      <x:c r="J39" s="227"/>
      <x:c r="K39" s="227"/>
      <x:c r="L39" s="227"/>
      <x:c r="M39" s="227"/>
      <x:c r="N39" s="227"/>
      <x:c r="O39" s="227"/>
      <x:c r="P39" s="227"/>
      <x:c r="Q39" s="227"/>
      <x:c r="R39" s="227"/>
      <x:c r="S39" s="227"/>
      <x:c r="T39" s="227"/>
      <x:c r="U39" s="227"/>
      <x:c r="V39" s="227"/>
      <x:c r="W39" s="227"/>
      <x:c r="X39" s="227"/>
      <x:c r="Y39" s="227"/>
      <x:c r="Z39" s="227"/>
    </x:row>
    <x:row r="40">
      <x:c r="A40" s="227"/>
      <x:c r="B40" s="227"/>
      <x:c r="C40" s="227"/>
      <x:c r="D40" s="227"/>
      <x:c r="E40" s="227"/>
      <x:c r="F40" s="227"/>
      <x:c r="G40" s="227"/>
      <x:c r="H40" s="227"/>
      <x:c r="I40" s="227"/>
      <x:c r="J40" s="227"/>
      <x:c r="K40" s="227"/>
      <x:c r="L40" s="227"/>
      <x:c r="M40" s="227"/>
      <x:c r="N40" s="227"/>
      <x:c r="O40" s="227"/>
      <x:c r="P40" s="227"/>
      <x:c r="Q40" s="227"/>
      <x:c r="R40" s="227"/>
      <x:c r="S40" s="227"/>
      <x:c r="T40" s="227"/>
      <x:c r="U40" s="227"/>
      <x:c r="V40" s="227"/>
      <x:c r="W40" s="227"/>
      <x:c r="X40" s="227"/>
      <x:c r="Y40" s="227"/>
      <x:c r="Z40" s="227"/>
    </x:row>
    <x:row r="41">
      <x:c r="A41" s="227"/>
      <x:c r="B41" s="227"/>
      <x:c r="C41" s="227"/>
      <x:c r="D41" s="227"/>
      <x:c r="E41" s="227"/>
      <x:c r="F41" s="227"/>
      <x:c r="G41" s="227"/>
      <x:c r="H41" s="227"/>
      <x:c r="I41" s="227"/>
      <x:c r="J41" s="227"/>
      <x:c r="K41" s="227"/>
      <x:c r="L41" s="227"/>
      <x:c r="M41" s="227"/>
      <x:c r="N41" s="227"/>
      <x:c r="O41" s="227"/>
      <x:c r="P41" s="227"/>
      <x:c r="Q41" s="227"/>
      <x:c r="R41" s="227"/>
      <x:c r="S41" s="227"/>
      <x:c r="T41" s="227"/>
      <x:c r="U41" s="227"/>
      <x:c r="V41" s="227"/>
      <x:c r="W41" s="227"/>
      <x:c r="X41" s="227"/>
      <x:c r="Y41" s="227"/>
      <x:c r="Z41" s="227"/>
    </x:row>
    <x:row r="42">
      <x:c r="A42" s="227"/>
      <x:c r="B42" s="227"/>
      <x:c r="C42" s="227"/>
      <x:c r="D42" s="227"/>
      <x:c r="E42" s="227"/>
      <x:c r="F42" s="227"/>
      <x:c r="G42" s="227"/>
      <x:c r="H42" s="227"/>
      <x:c r="I42" s="227"/>
      <x:c r="J42" s="227"/>
      <x:c r="K42" s="227"/>
      <x:c r="L42" s="227"/>
      <x:c r="M42" s="227"/>
      <x:c r="N42" s="227"/>
      <x:c r="O42" s="227"/>
      <x:c r="P42" s="227"/>
      <x:c r="Q42" s="227"/>
      <x:c r="R42" s="227"/>
      <x:c r="S42" s="227"/>
      <x:c r="T42" s="227"/>
      <x:c r="U42" s="227"/>
      <x:c r="V42" s="227"/>
      <x:c r="W42" s="227"/>
      <x:c r="X42" s="227"/>
      <x:c r="Y42" s="227"/>
      <x:c r="Z42" s="227"/>
    </x:row>
    <x:row r="43">
      <x:c r="A43" s="227"/>
      <x:c r="B43" s="227"/>
      <x:c r="C43" s="227"/>
      <x:c r="D43" s="227"/>
      <x:c r="E43" s="227"/>
      <x:c r="F43" s="227"/>
      <x:c r="G43" s="227"/>
      <x:c r="H43" s="227"/>
      <x:c r="I43" s="227"/>
      <x:c r="J43" s="227"/>
      <x:c r="K43" s="227"/>
      <x:c r="L43" s="227"/>
      <x:c r="M43" s="227"/>
      <x:c r="N43" s="227"/>
      <x:c r="O43" s="227"/>
      <x:c r="P43" s="227"/>
      <x:c r="Q43" s="227"/>
      <x:c r="R43" s="227"/>
      <x:c r="S43" s="227"/>
      <x:c r="T43" s="227"/>
      <x:c r="U43" s="227"/>
      <x:c r="V43" s="227"/>
      <x:c r="W43" s="227"/>
      <x:c r="X43" s="227"/>
      <x:c r="Y43" s="227"/>
      <x:c r="Z43" s="227"/>
    </x:row>
    <x:row r="44">
      <x:c r="A44" s="227"/>
      <x:c r="B44" s="227"/>
      <x:c r="C44" s="227"/>
      <x:c r="D44" s="227"/>
      <x:c r="E44" s="227"/>
      <x:c r="F44" s="227"/>
      <x:c r="G44" s="227"/>
      <x:c r="H44" s="227"/>
      <x:c r="I44" s="227"/>
      <x:c r="J44" s="227"/>
      <x:c r="K44" s="227"/>
      <x:c r="L44" s="227"/>
      <x:c r="M44" s="227"/>
      <x:c r="N44" s="227"/>
      <x:c r="O44" s="227"/>
      <x:c r="P44" s="227"/>
      <x:c r="Q44" s="227"/>
      <x:c r="R44" s="227"/>
      <x:c r="S44" s="227"/>
      <x:c r="T44" s="227"/>
      <x:c r="U44" s="227"/>
      <x:c r="V44" s="227"/>
      <x:c r="W44" s="227"/>
      <x:c r="X44" s="227"/>
      <x:c r="Y44" s="227"/>
      <x:c r="Z44" s="227"/>
    </x:row>
    <x:row r="45">
      <x:c r="A45" s="227"/>
      <x:c r="B45" s="227"/>
      <x:c r="C45" s="227"/>
      <x:c r="D45" s="227"/>
      <x:c r="E45" s="227"/>
      <x:c r="F45" s="227"/>
      <x:c r="G45" s="227"/>
      <x:c r="H45" s="227"/>
      <x:c r="I45" s="227"/>
      <x:c r="J45" s="227"/>
      <x:c r="K45" s="227"/>
      <x:c r="L45" s="227"/>
      <x:c r="M45" s="227"/>
      <x:c r="N45" s="227"/>
      <x:c r="O45" s="227"/>
      <x:c r="P45" s="227"/>
      <x:c r="Q45" s="227"/>
      <x:c r="R45" s="227"/>
      <x:c r="S45" s="227"/>
      <x:c r="T45" s="227"/>
      <x:c r="U45" s="227"/>
      <x:c r="V45" s="227"/>
      <x:c r="W45" s="227"/>
      <x:c r="X45" s="227"/>
      <x:c r="Y45" s="227"/>
      <x:c r="Z45" s="227"/>
    </x:row>
    <x:row r="46">
      <x:c r="A46" s="227"/>
      <x:c r="B46" s="227"/>
      <x:c r="C46" s="227"/>
      <x:c r="D46" s="227"/>
      <x:c r="E46" s="227"/>
      <x:c r="F46" s="227"/>
      <x:c r="G46" s="227"/>
      <x:c r="H46" s="227"/>
      <x:c r="I46" s="227"/>
      <x:c r="J46" s="227"/>
      <x:c r="K46" s="227"/>
      <x:c r="L46" s="227"/>
      <x:c r="M46" s="227"/>
      <x:c r="N46" s="227"/>
      <x:c r="O46" s="227"/>
      <x:c r="P46" s="227"/>
      <x:c r="Q46" s="227"/>
      <x:c r="R46" s="227"/>
      <x:c r="S46" s="227"/>
      <x:c r="T46" s="227"/>
      <x:c r="U46" s="227"/>
      <x:c r="V46" s="227"/>
      <x:c r="W46" s="227"/>
      <x:c r="X46" s="227"/>
      <x:c r="Y46" s="227"/>
      <x:c r="Z46" s="227"/>
    </x:row>
    <x:row r="47">
      <x:c r="A47" s="227"/>
      <x:c r="B47" s="227"/>
      <x:c r="C47" s="227"/>
      <x:c r="D47" s="227"/>
      <x:c r="E47" s="227"/>
      <x:c r="F47" s="227"/>
      <x:c r="G47" s="227"/>
      <x:c r="H47" s="227"/>
      <x:c r="I47" s="227"/>
      <x:c r="J47" s="227"/>
      <x:c r="K47" s="227"/>
      <x:c r="L47" s="227"/>
      <x:c r="M47" s="227"/>
      <x:c r="N47" s="227"/>
      <x:c r="O47" s="227"/>
      <x:c r="P47" s="227"/>
      <x:c r="Q47" s="227"/>
      <x:c r="R47" s="227"/>
      <x:c r="S47" s="227"/>
      <x:c r="T47" s="227"/>
      <x:c r="U47" s="227"/>
      <x:c r="V47" s="227"/>
      <x:c r="W47" s="227"/>
      <x:c r="X47" s="227"/>
      <x:c r="Y47" s="227"/>
      <x:c r="Z47" s="227"/>
    </x:row>
    <x:row r="48">
      <x:c r="A48" s="227"/>
      <x:c r="B48" s="227"/>
      <x:c r="C48" s="227"/>
      <x:c r="D48" s="227"/>
      <x:c r="E48" s="227"/>
      <x:c r="F48" s="227"/>
      <x:c r="G48" s="227"/>
      <x:c r="H48" s="227"/>
      <x:c r="I48" s="227"/>
      <x:c r="J48" s="227"/>
      <x:c r="K48" s="227"/>
      <x:c r="L48" s="227"/>
      <x:c r="M48" s="227"/>
      <x:c r="N48" s="227"/>
      <x:c r="O48" s="227"/>
      <x:c r="P48" s="227"/>
      <x:c r="Q48" s="227"/>
      <x:c r="R48" s="227"/>
      <x:c r="S48" s="227"/>
      <x:c r="T48" s="227"/>
      <x:c r="U48" s="227"/>
      <x:c r="V48" s="227"/>
      <x:c r="W48" s="227"/>
      <x:c r="X48" s="227"/>
      <x:c r="Y48" s="227"/>
      <x:c r="Z48" s="227"/>
    </x:row>
    <x:row r="49">
      <x:c r="A49" s="227"/>
      <x:c r="B49" s="227"/>
      <x:c r="C49" s="227"/>
      <x:c r="D49" s="227"/>
      <x:c r="E49" s="227"/>
      <x:c r="F49" s="227"/>
      <x:c r="G49" s="227"/>
      <x:c r="H49" s="227"/>
      <x:c r="I49" s="227"/>
      <x:c r="J49" s="227"/>
      <x:c r="K49" s="227"/>
      <x:c r="L49" s="227"/>
      <x:c r="M49" s="227"/>
      <x:c r="N49" s="227"/>
      <x:c r="O49" s="227"/>
      <x:c r="P49" s="227"/>
      <x:c r="Q49" s="227"/>
      <x:c r="R49" s="227"/>
      <x:c r="S49" s="227"/>
      <x:c r="T49" s="227"/>
      <x:c r="U49" s="227"/>
      <x:c r="V49" s="227"/>
      <x:c r="W49" s="227"/>
      <x:c r="X49" s="227"/>
      <x:c r="Y49" s="227"/>
      <x:c r="Z49" s="227"/>
    </x:row>
    <x:row r="50">
      <x:c r="A50" s="227"/>
      <x:c r="B50" s="227"/>
      <x:c r="C50" s="227"/>
      <x:c r="D50" s="227"/>
      <x:c r="E50" s="227"/>
      <x:c r="F50" s="227"/>
      <x:c r="G50" s="227"/>
      <x:c r="H50" s="227"/>
      <x:c r="I50" s="227"/>
      <x:c r="J50" s="227"/>
      <x:c r="K50" s="227"/>
      <x:c r="L50" s="227"/>
      <x:c r="M50" s="227"/>
      <x:c r="N50" s="227"/>
      <x:c r="O50" s="227"/>
      <x:c r="P50" s="227"/>
      <x:c r="Q50" s="227"/>
      <x:c r="R50" s="227"/>
      <x:c r="S50" s="227"/>
      <x:c r="T50" s="227"/>
      <x:c r="U50" s="227"/>
      <x:c r="V50" s="227"/>
      <x:c r="W50" s="227"/>
      <x:c r="X50" s="227"/>
      <x:c r="Y50" s="227"/>
      <x:c r="Z50" s="227"/>
    </x:row>
    <x:row r="51">
      <x:c r="A51" s="227"/>
      <x:c r="B51" s="227"/>
      <x:c r="C51" s="227"/>
      <x:c r="D51" s="227"/>
      <x:c r="E51" s="227"/>
      <x:c r="F51" s="227"/>
      <x:c r="G51" s="227"/>
      <x:c r="H51" s="227"/>
      <x:c r="I51" s="227"/>
      <x:c r="J51" s="227"/>
      <x:c r="K51" s="227"/>
      <x:c r="L51" s="227"/>
      <x:c r="M51" s="227"/>
      <x:c r="N51" s="227"/>
      <x:c r="O51" s="227"/>
      <x:c r="P51" s="227"/>
      <x:c r="Q51" s="227"/>
      <x:c r="R51" s="227"/>
      <x:c r="S51" s="227"/>
      <x:c r="T51" s="227"/>
      <x:c r="U51" s="227"/>
      <x:c r="V51" s="227"/>
      <x:c r="W51" s="227"/>
      <x:c r="X51" s="227"/>
      <x:c r="Y51" s="227"/>
      <x:c r="Z51" s="227"/>
    </x:row>
    <x:row r="52">
      <x:c r="A52" s="227"/>
      <x:c r="B52" s="227"/>
      <x:c r="C52" s="227"/>
      <x:c r="D52" s="227"/>
      <x:c r="E52" s="227"/>
      <x:c r="F52" s="227"/>
      <x:c r="G52" s="227"/>
      <x:c r="H52" s="227"/>
      <x:c r="I52" s="227"/>
      <x:c r="J52" s="227"/>
      <x:c r="K52" s="227"/>
      <x:c r="L52" s="227"/>
      <x:c r="M52" s="227"/>
      <x:c r="N52" s="227"/>
      <x:c r="O52" s="227"/>
      <x:c r="P52" s="227"/>
      <x:c r="Q52" s="227"/>
      <x:c r="R52" s="227"/>
      <x:c r="S52" s="227"/>
      <x:c r="T52" s="227"/>
      <x:c r="U52" s="227"/>
      <x:c r="V52" s="227"/>
      <x:c r="W52" s="227"/>
      <x:c r="X52" s="227"/>
      <x:c r="Y52" s="227"/>
      <x:c r="Z52" s="227"/>
    </x:row>
    <x:row r="53">
      <x:c r="A53" s="227"/>
      <x:c r="B53" s="227"/>
      <x:c r="C53" s="227"/>
      <x:c r="D53" s="227"/>
      <x:c r="E53" s="227"/>
      <x:c r="F53" s="227"/>
      <x:c r="G53" s="227"/>
      <x:c r="H53" s="227"/>
      <x:c r="I53" s="227"/>
      <x:c r="J53" s="227"/>
      <x:c r="K53" s="227"/>
      <x:c r="L53" s="227"/>
      <x:c r="M53" s="227"/>
      <x:c r="N53" s="227"/>
      <x:c r="O53" s="227"/>
      <x:c r="P53" s="227"/>
      <x:c r="Q53" s="227"/>
      <x:c r="R53" s="227"/>
      <x:c r="S53" s="227"/>
      <x:c r="T53" s="227"/>
      <x:c r="U53" s="227"/>
      <x:c r="V53" s="227"/>
      <x:c r="W53" s="227"/>
      <x:c r="X53" s="227"/>
      <x:c r="Y53" s="227"/>
      <x:c r="Z53" s="227"/>
    </x:row>
    <x:row r="54">
      <x:c r="A54" s="227"/>
      <x:c r="B54" s="227"/>
      <x:c r="C54" s="227"/>
      <x:c r="D54" s="227"/>
      <x:c r="E54" s="227"/>
      <x:c r="F54" s="227"/>
      <x:c r="G54" s="227"/>
      <x:c r="H54" s="227"/>
      <x:c r="I54" s="227"/>
      <x:c r="J54" s="227"/>
      <x:c r="K54" s="227"/>
      <x:c r="L54" s="227"/>
      <x:c r="M54" s="227"/>
      <x:c r="N54" s="227"/>
      <x:c r="O54" s="227"/>
      <x:c r="P54" s="227"/>
      <x:c r="Q54" s="227"/>
      <x:c r="R54" s="227"/>
      <x:c r="S54" s="227"/>
      <x:c r="T54" s="227"/>
      <x:c r="U54" s="227"/>
      <x:c r="V54" s="227"/>
      <x:c r="W54" s="227"/>
      <x:c r="X54" s="227"/>
      <x:c r="Y54" s="227"/>
      <x:c r="Z54" s="227"/>
    </x:row>
    <x:row r="55">
      <x:c r="A55" s="227"/>
      <x:c r="B55" s="227"/>
      <x:c r="C55" s="227"/>
      <x:c r="D55" s="227"/>
      <x:c r="E55" s="227"/>
      <x:c r="F55" s="227"/>
      <x:c r="G55" s="227"/>
      <x:c r="H55" s="227"/>
      <x:c r="I55" s="227"/>
      <x:c r="J55" s="227"/>
      <x:c r="K55" s="227"/>
      <x:c r="L55" s="227"/>
      <x:c r="M55" s="227"/>
      <x:c r="N55" s="227"/>
      <x:c r="O55" s="227"/>
      <x:c r="P55" s="227"/>
      <x:c r="Q55" s="227"/>
      <x:c r="R55" s="227"/>
      <x:c r="S55" s="227"/>
      <x:c r="T55" s="227"/>
      <x:c r="U55" s="227"/>
      <x:c r="V55" s="227"/>
      <x:c r="W55" s="227"/>
      <x:c r="X55" s="227"/>
      <x:c r="Y55" s="227"/>
      <x:c r="Z55" s="227"/>
    </x:row>
    <x:row r="56">
      <x:c r="A56" s="227"/>
      <x:c r="B56" s="227"/>
      <x:c r="C56" s="227"/>
      <x:c r="D56" s="227"/>
      <x:c r="E56" s="227"/>
      <x:c r="F56" s="227"/>
      <x:c r="G56" s="227"/>
      <x:c r="H56" s="227"/>
      <x:c r="I56" s="227"/>
      <x:c r="J56" s="227"/>
      <x:c r="K56" s="227"/>
      <x:c r="L56" s="227"/>
      <x:c r="M56" s="227"/>
      <x:c r="N56" s="227"/>
      <x:c r="O56" s="227"/>
      <x:c r="P56" s="227"/>
      <x:c r="Q56" s="227"/>
      <x:c r="R56" s="227"/>
      <x:c r="S56" s="227"/>
      <x:c r="T56" s="227"/>
      <x:c r="U56" s="227"/>
      <x:c r="V56" s="227"/>
      <x:c r="W56" s="227"/>
      <x:c r="X56" s="227"/>
      <x:c r="Y56" s="227"/>
      <x:c r="Z56" s="227"/>
    </x:row>
    <x:row r="57">
      <x:c r="A57" s="227"/>
      <x:c r="B57" s="227"/>
      <x:c r="C57" s="227"/>
      <x:c r="D57" s="227"/>
      <x:c r="E57" s="227"/>
      <x:c r="F57" s="227"/>
      <x:c r="G57" s="227"/>
      <x:c r="H57" s="227"/>
      <x:c r="I57" s="227"/>
      <x:c r="J57" s="227"/>
      <x:c r="K57" s="227"/>
      <x:c r="L57" s="227"/>
      <x:c r="M57" s="227"/>
      <x:c r="N57" s="227"/>
      <x:c r="O57" s="227"/>
      <x:c r="P57" s="227"/>
      <x:c r="Q57" s="227"/>
      <x:c r="R57" s="227"/>
      <x:c r="S57" s="227"/>
      <x:c r="T57" s="227"/>
      <x:c r="U57" s="227"/>
      <x:c r="V57" s="227"/>
      <x:c r="W57" s="227"/>
      <x:c r="X57" s="227"/>
      <x:c r="Y57" s="227"/>
      <x:c r="Z57" s="227"/>
    </x:row>
    <x:row r="58">
      <x:c r="A58" s="227"/>
      <x:c r="B58" s="227"/>
      <x:c r="C58" s="227"/>
      <x:c r="D58" s="227"/>
      <x:c r="E58" s="227"/>
      <x:c r="F58" s="227"/>
      <x:c r="G58" s="227"/>
      <x:c r="H58" s="227"/>
      <x:c r="I58" s="227"/>
      <x:c r="J58" s="227"/>
      <x:c r="K58" s="227"/>
      <x:c r="L58" s="227"/>
      <x:c r="M58" s="227"/>
      <x:c r="N58" s="227"/>
      <x:c r="O58" s="227"/>
      <x:c r="P58" s="227"/>
      <x:c r="Q58" s="227"/>
      <x:c r="R58" s="227"/>
      <x:c r="S58" s="227"/>
      <x:c r="T58" s="227"/>
      <x:c r="U58" s="227"/>
      <x:c r="V58" s="227"/>
      <x:c r="W58" s="227"/>
      <x:c r="X58" s="227"/>
      <x:c r="Y58" s="227"/>
      <x:c r="Z58" s="227"/>
    </x:row>
    <x:row r="59">
      <x:c r="A59" s="227"/>
      <x:c r="B59" s="227"/>
      <x:c r="C59" s="227"/>
      <x:c r="D59" s="227"/>
      <x:c r="E59" s="227"/>
      <x:c r="F59" s="227"/>
      <x:c r="G59" s="227"/>
      <x:c r="H59" s="227"/>
      <x:c r="I59" s="227"/>
      <x:c r="J59" s="227"/>
      <x:c r="K59" s="227"/>
      <x:c r="L59" s="227"/>
      <x:c r="M59" s="227"/>
      <x:c r="N59" s="227"/>
      <x:c r="O59" s="227"/>
      <x:c r="P59" s="227"/>
      <x:c r="Q59" s="227"/>
      <x:c r="R59" s="227"/>
      <x:c r="S59" s="227"/>
      <x:c r="T59" s="227"/>
      <x:c r="U59" s="227"/>
      <x:c r="V59" s="227"/>
      <x:c r="W59" s="227"/>
      <x:c r="X59" s="227"/>
      <x:c r="Y59" s="227"/>
      <x:c r="Z59" s="227"/>
    </x:row>
    <x:row r="60">
      <x:c r="A60" s="227"/>
      <x:c r="B60" s="227"/>
      <x:c r="C60" s="227"/>
      <x:c r="D60" s="227"/>
      <x:c r="E60" s="227"/>
      <x:c r="F60" s="227"/>
      <x:c r="G60" s="227"/>
      <x:c r="H60" s="227"/>
      <x:c r="I60" s="227"/>
      <x:c r="J60" s="227"/>
      <x:c r="K60" s="227"/>
      <x:c r="L60" s="227"/>
      <x:c r="M60" s="227"/>
      <x:c r="N60" s="227"/>
      <x:c r="O60" s="227"/>
      <x:c r="P60" s="227"/>
      <x:c r="Q60" s="227"/>
      <x:c r="R60" s="227"/>
      <x:c r="S60" s="227"/>
      <x:c r="T60" s="227"/>
      <x:c r="U60" s="227"/>
      <x:c r="V60" s="227"/>
      <x:c r="W60" s="227"/>
      <x:c r="X60" s="227"/>
      <x:c r="Y60" s="227"/>
      <x:c r="Z60" s="227"/>
    </x:row>
    <x:row r="61">
      <x:c r="A61" s="227"/>
      <x:c r="B61" s="227"/>
      <x:c r="C61" s="227"/>
      <x:c r="D61" s="227"/>
      <x:c r="E61" s="227"/>
      <x:c r="F61" s="227"/>
      <x:c r="G61" s="227"/>
      <x:c r="H61" s="227"/>
      <x:c r="I61" s="227"/>
      <x:c r="J61" s="227"/>
      <x:c r="K61" s="227"/>
      <x:c r="L61" s="227"/>
      <x:c r="M61" s="227"/>
      <x:c r="N61" s="227"/>
      <x:c r="O61" s="227"/>
      <x:c r="P61" s="227"/>
      <x:c r="Q61" s="227"/>
      <x:c r="R61" s="227"/>
      <x:c r="S61" s="227"/>
      <x:c r="T61" s="227"/>
      <x:c r="U61" s="227"/>
      <x:c r="V61" s="227"/>
      <x:c r="W61" s="227"/>
      <x:c r="X61" s="227"/>
      <x:c r="Y61" s="227"/>
      <x:c r="Z61" s="227"/>
    </x:row>
    <x:row r="62">
      <x:c r="A62" s="227"/>
      <x:c r="B62" s="227"/>
      <x:c r="C62" s="227"/>
      <x:c r="D62" s="227"/>
      <x:c r="E62" s="227"/>
      <x:c r="F62" s="227"/>
      <x:c r="G62" s="227"/>
      <x:c r="H62" s="227"/>
      <x:c r="I62" s="227"/>
      <x:c r="J62" s="227"/>
      <x:c r="K62" s="227"/>
      <x:c r="L62" s="227"/>
      <x:c r="M62" s="227"/>
      <x:c r="N62" s="227"/>
      <x:c r="O62" s="227"/>
      <x:c r="P62" s="227"/>
      <x:c r="Q62" s="227"/>
      <x:c r="R62" s="227"/>
      <x:c r="S62" s="227"/>
      <x:c r="T62" s="227"/>
      <x:c r="U62" s="227"/>
      <x:c r="V62" s="227"/>
      <x:c r="W62" s="227"/>
      <x:c r="X62" s="227"/>
      <x:c r="Y62" s="227"/>
      <x:c r="Z62" s="227"/>
    </x:row>
    <x:row r="63">
      <x:c r="A63" s="227"/>
      <x:c r="B63" s="227"/>
      <x:c r="C63" s="227"/>
      <x:c r="D63" s="227"/>
      <x:c r="E63" s="227"/>
      <x:c r="F63" s="227"/>
      <x:c r="G63" s="227"/>
      <x:c r="H63" s="227"/>
      <x:c r="I63" s="227"/>
      <x:c r="J63" s="227"/>
      <x:c r="K63" s="227"/>
      <x:c r="L63" s="227"/>
      <x:c r="M63" s="227"/>
      <x:c r="N63" s="227"/>
      <x:c r="O63" s="227"/>
      <x:c r="P63" s="227"/>
      <x:c r="Q63" s="227"/>
      <x:c r="R63" s="227"/>
      <x:c r="S63" s="227"/>
      <x:c r="T63" s="227"/>
      <x:c r="U63" s="227"/>
      <x:c r="V63" s="227"/>
      <x:c r="W63" s="227"/>
      <x:c r="X63" s="227"/>
      <x:c r="Y63" s="227"/>
      <x:c r="Z63" s="227"/>
    </x:row>
    <x:row r="64">
      <x:c r="A64" s="227"/>
      <x:c r="B64" s="227"/>
      <x:c r="C64" s="227"/>
      <x:c r="D64" s="227"/>
      <x:c r="E64" s="227"/>
      <x:c r="F64" s="227"/>
      <x:c r="G64" s="227"/>
      <x:c r="H64" s="227"/>
      <x:c r="I64" s="227"/>
      <x:c r="J64" s="227"/>
      <x:c r="K64" s="227"/>
      <x:c r="L64" s="227"/>
      <x:c r="M64" s="227"/>
      <x:c r="N64" s="227"/>
      <x:c r="O64" s="227"/>
      <x:c r="P64" s="227"/>
      <x:c r="Q64" s="227"/>
      <x:c r="R64" s="227"/>
      <x:c r="S64" s="227"/>
      <x:c r="T64" s="227"/>
      <x:c r="U64" s="227"/>
      <x:c r="V64" s="227"/>
      <x:c r="W64" s="227"/>
      <x:c r="X64" s="227"/>
      <x:c r="Y64" s="227"/>
      <x:c r="Z64" s="227"/>
    </x:row>
    <x:row r="65">
      <x:c r="A65" s="227"/>
      <x:c r="B65" s="227"/>
      <x:c r="C65" s="227"/>
      <x:c r="D65" s="227"/>
      <x:c r="E65" s="227"/>
      <x:c r="F65" s="227"/>
      <x:c r="G65" s="227"/>
      <x:c r="H65" s="227"/>
      <x:c r="I65" s="227"/>
      <x:c r="J65" s="227"/>
      <x:c r="K65" s="227"/>
      <x:c r="L65" s="227"/>
      <x:c r="M65" s="227"/>
      <x:c r="N65" s="227"/>
      <x:c r="O65" s="227"/>
      <x:c r="P65" s="227"/>
      <x:c r="Q65" s="227"/>
      <x:c r="R65" s="227"/>
      <x:c r="S65" s="227"/>
      <x:c r="T65" s="227"/>
      <x:c r="U65" s="227"/>
      <x:c r="V65" s="227"/>
      <x:c r="W65" s="227"/>
      <x:c r="X65" s="227"/>
      <x:c r="Y65" s="227"/>
      <x:c r="Z65" s="227"/>
    </x:row>
    <x:row r="66">
      <x:c r="A66" s="227"/>
      <x:c r="B66" s="227"/>
      <x:c r="C66" s="227"/>
      <x:c r="D66" s="227"/>
      <x:c r="E66" s="227"/>
      <x:c r="F66" s="227"/>
      <x:c r="G66" s="227"/>
      <x:c r="H66" s="227"/>
      <x:c r="I66" s="227"/>
      <x:c r="J66" s="227"/>
      <x:c r="K66" s="227"/>
      <x:c r="L66" s="227"/>
      <x:c r="M66" s="227"/>
      <x:c r="N66" s="227"/>
      <x:c r="O66" s="227"/>
      <x:c r="P66" s="227"/>
      <x:c r="Q66" s="227"/>
      <x:c r="R66" s="227"/>
      <x:c r="S66" s="227"/>
      <x:c r="T66" s="227"/>
      <x:c r="U66" s="227"/>
      <x:c r="V66" s="227"/>
      <x:c r="W66" s="227"/>
      <x:c r="X66" s="227"/>
      <x:c r="Y66" s="227"/>
      <x:c r="Z66" s="227"/>
    </x:row>
    <x:row r="67">
      <x:c r="A67" s="227"/>
      <x:c r="B67" s="227"/>
      <x:c r="C67" s="227"/>
      <x:c r="D67" s="227"/>
      <x:c r="E67" s="227"/>
      <x:c r="F67" s="227"/>
      <x:c r="G67" s="227"/>
      <x:c r="H67" s="227"/>
      <x:c r="I67" s="227"/>
      <x:c r="J67" s="227"/>
      <x:c r="K67" s="227"/>
      <x:c r="L67" s="227"/>
      <x:c r="M67" s="227"/>
      <x:c r="N67" s="227"/>
      <x:c r="O67" s="227"/>
      <x:c r="P67" s="227"/>
      <x:c r="Q67" s="227"/>
      <x:c r="R67" s="227"/>
      <x:c r="S67" s="227"/>
      <x:c r="T67" s="227"/>
      <x:c r="U67" s="227"/>
      <x:c r="V67" s="227"/>
      <x:c r="W67" s="227"/>
      <x:c r="X67" s="227"/>
      <x:c r="Y67" s="227"/>
      <x:c r="Z67" s="227"/>
    </x:row>
    <x:row r="68">
      <x:c r="A68" s="227"/>
      <x:c r="B68" s="227"/>
      <x:c r="C68" s="227"/>
      <x:c r="D68" s="227"/>
      <x:c r="E68" s="227"/>
      <x:c r="F68" s="227"/>
      <x:c r="G68" s="227"/>
      <x:c r="H68" s="227"/>
      <x:c r="I68" s="227"/>
      <x:c r="J68" s="227"/>
      <x:c r="K68" s="227"/>
      <x:c r="L68" s="227"/>
      <x:c r="M68" s="227"/>
      <x:c r="N68" s="227"/>
      <x:c r="O68" s="227"/>
      <x:c r="P68" s="227"/>
      <x:c r="Q68" s="227"/>
      <x:c r="R68" s="227"/>
      <x:c r="S68" s="227"/>
      <x:c r="T68" s="227"/>
      <x:c r="U68" s="227"/>
      <x:c r="V68" s="227"/>
      <x:c r="W68" s="227"/>
      <x:c r="X68" s="227"/>
      <x:c r="Y68" s="227"/>
      <x:c r="Z68" s="227"/>
    </x:row>
    <x:row r="69">
      <x:c r="A69" s="227"/>
      <x:c r="B69" s="227"/>
      <x:c r="C69" s="227"/>
      <x:c r="D69" s="227"/>
      <x:c r="E69" s="227"/>
      <x:c r="F69" s="227"/>
      <x:c r="G69" s="227"/>
      <x:c r="H69" s="227"/>
      <x:c r="I69" s="227"/>
      <x:c r="J69" s="227"/>
      <x:c r="K69" s="227"/>
      <x:c r="L69" s="227"/>
      <x:c r="M69" s="227"/>
      <x:c r="N69" s="227"/>
      <x:c r="O69" s="227"/>
      <x:c r="P69" s="227"/>
      <x:c r="Q69" s="227"/>
      <x:c r="R69" s="227"/>
      <x:c r="S69" s="227"/>
      <x:c r="T69" s="227"/>
      <x:c r="U69" s="227"/>
      <x:c r="V69" s="227"/>
      <x:c r="W69" s="227"/>
      <x:c r="X69" s="227"/>
      <x:c r="Y69" s="227"/>
      <x:c r="Z69" s="227"/>
    </x:row>
    <x:row r="70">
      <x:c r="A70" s="227"/>
      <x:c r="B70" s="227"/>
      <x:c r="C70" s="227"/>
      <x:c r="D70" s="227"/>
      <x:c r="E70" s="227"/>
      <x:c r="F70" s="227"/>
      <x:c r="G70" s="227"/>
      <x:c r="H70" s="227"/>
      <x:c r="I70" s="227"/>
      <x:c r="J70" s="227"/>
      <x:c r="K70" s="227"/>
      <x:c r="L70" s="227"/>
      <x:c r="M70" s="227"/>
      <x:c r="N70" s="227"/>
      <x:c r="O70" s="227"/>
      <x:c r="P70" s="227"/>
      <x:c r="Q70" s="227"/>
      <x:c r="R70" s="227"/>
      <x:c r="S70" s="227"/>
      <x:c r="T70" s="227"/>
      <x:c r="U70" s="227"/>
      <x:c r="V70" s="227"/>
      <x:c r="W70" s="227"/>
      <x:c r="X70" s="227"/>
      <x:c r="Y70" s="227"/>
      <x:c r="Z70" s="227"/>
    </x:row>
    <x:row r="71">
      <x:c r="A71" s="227"/>
      <x:c r="B71" s="227"/>
      <x:c r="C71" s="227"/>
      <x:c r="D71" s="227"/>
      <x:c r="E71" s="227"/>
      <x:c r="F71" s="227"/>
      <x:c r="G71" s="227"/>
      <x:c r="H71" s="227"/>
      <x:c r="I71" s="227"/>
      <x:c r="J71" s="227"/>
      <x:c r="K71" s="227"/>
      <x:c r="L71" s="227"/>
      <x:c r="M71" s="227"/>
      <x:c r="N71" s="227"/>
      <x:c r="O71" s="227"/>
      <x:c r="P71" s="227"/>
      <x:c r="Q71" s="227"/>
      <x:c r="R71" s="227"/>
      <x:c r="S71" s="227"/>
      <x:c r="T71" s="227"/>
      <x:c r="U71" s="227"/>
      <x:c r="V71" s="227"/>
      <x:c r="W71" s="227"/>
      <x:c r="X71" s="227"/>
      <x:c r="Y71" s="227"/>
      <x:c r="Z71" s="227"/>
    </x:row>
    <x:row r="72">
      <x:c r="A72" s="227"/>
      <x:c r="B72" s="227"/>
      <x:c r="C72" s="227"/>
      <x:c r="D72" s="227"/>
      <x:c r="E72" s="227"/>
      <x:c r="F72" s="227"/>
      <x:c r="G72" s="227"/>
      <x:c r="H72" s="227"/>
      <x:c r="I72" s="227"/>
      <x:c r="J72" s="227"/>
      <x:c r="K72" s="227"/>
      <x:c r="L72" s="227"/>
      <x:c r="M72" s="227"/>
      <x:c r="N72" s="227"/>
      <x:c r="O72" s="227"/>
      <x:c r="P72" s="227"/>
      <x:c r="Q72" s="227"/>
      <x:c r="R72" s="227"/>
      <x:c r="S72" s="227"/>
      <x:c r="T72" s="227"/>
      <x:c r="U72" s="227"/>
      <x:c r="V72" s="227"/>
      <x:c r="W72" s="227"/>
      <x:c r="X72" s="227"/>
      <x:c r="Y72" s="227"/>
      <x:c r="Z72" s="227"/>
    </x:row>
    <x:row r="73">
      <x:c r="A73" s="227"/>
      <x:c r="B73" s="227"/>
      <x:c r="C73" s="227"/>
      <x:c r="D73" s="227"/>
      <x:c r="E73" s="227"/>
      <x:c r="F73" s="227"/>
      <x:c r="G73" s="227"/>
      <x:c r="H73" s="227"/>
      <x:c r="I73" s="227"/>
      <x:c r="J73" s="227"/>
      <x:c r="K73" s="227"/>
      <x:c r="L73" s="227"/>
      <x:c r="M73" s="227"/>
      <x:c r="N73" s="227"/>
      <x:c r="O73" s="227"/>
      <x:c r="P73" s="227"/>
      <x:c r="Q73" s="227"/>
      <x:c r="R73" s="227"/>
      <x:c r="S73" s="227"/>
      <x:c r="T73" s="227"/>
      <x:c r="U73" s="227"/>
      <x:c r="V73" s="227"/>
      <x:c r="W73" s="227"/>
      <x:c r="X73" s="227"/>
      <x:c r="Y73" s="227"/>
      <x:c r="Z73" s="227"/>
    </x:row>
    <x:row r="74">
      <x:c r="A74" s="227"/>
      <x:c r="B74" s="227"/>
      <x:c r="C74" s="227"/>
      <x:c r="D74" s="227"/>
      <x:c r="E74" s="227"/>
      <x:c r="F74" s="227"/>
      <x:c r="G74" s="227"/>
      <x:c r="H74" s="227"/>
      <x:c r="I74" s="227"/>
      <x:c r="J74" s="227"/>
      <x:c r="K74" s="227"/>
      <x:c r="L74" s="227"/>
      <x:c r="M74" s="227"/>
      <x:c r="N74" s="227"/>
      <x:c r="O74" s="227"/>
      <x:c r="P74" s="227"/>
      <x:c r="Q74" s="227"/>
      <x:c r="R74" s="227"/>
      <x:c r="S74" s="227"/>
      <x:c r="T74" s="227"/>
      <x:c r="U74" s="227"/>
      <x:c r="V74" s="227"/>
      <x:c r="W74" s="227"/>
      <x:c r="X74" s="227"/>
      <x:c r="Y74" s="227"/>
      <x:c r="Z74" s="227"/>
    </x:row>
    <x:row r="75">
      <x:c r="A75" s="227"/>
      <x:c r="B75" s="227"/>
      <x:c r="C75" s="227"/>
      <x:c r="D75" s="227"/>
      <x:c r="E75" s="227"/>
      <x:c r="F75" s="227"/>
      <x:c r="G75" s="227"/>
      <x:c r="H75" s="227"/>
      <x:c r="I75" s="227"/>
      <x:c r="J75" s="227"/>
      <x:c r="K75" s="227"/>
      <x:c r="L75" s="227"/>
      <x:c r="M75" s="227"/>
      <x:c r="N75" s="227"/>
      <x:c r="O75" s="227"/>
      <x:c r="P75" s="227"/>
      <x:c r="Q75" s="227"/>
      <x:c r="R75" s="227"/>
      <x:c r="S75" s="227"/>
      <x:c r="T75" s="227"/>
      <x:c r="U75" s="227"/>
      <x:c r="V75" s="227"/>
      <x:c r="W75" s="227"/>
      <x:c r="X75" s="227"/>
      <x:c r="Y75" s="227"/>
      <x:c r="Z75" s="227"/>
    </x:row>
    <x:row r="76">
      <x:c r="A76" s="227"/>
      <x:c r="B76" s="227"/>
      <x:c r="C76" s="227"/>
      <x:c r="D76" s="227"/>
      <x:c r="E76" s="227"/>
      <x:c r="F76" s="227"/>
      <x:c r="G76" s="227"/>
      <x:c r="H76" s="227"/>
      <x:c r="I76" s="227"/>
      <x:c r="J76" s="227"/>
      <x:c r="K76" s="227"/>
      <x:c r="L76" s="227"/>
      <x:c r="M76" s="227"/>
      <x:c r="N76" s="227"/>
      <x:c r="O76" s="227"/>
      <x:c r="P76" s="227"/>
      <x:c r="Q76" s="227"/>
      <x:c r="R76" s="227"/>
      <x:c r="S76" s="227"/>
      <x:c r="T76" s="227"/>
      <x:c r="U76" s="227"/>
      <x:c r="V76" s="227"/>
      <x:c r="W76" s="227"/>
      <x:c r="X76" s="227"/>
      <x:c r="Y76" s="227"/>
      <x:c r="Z76" s="227"/>
    </x:row>
    <x:row r="77">
      <x:c r="A77" s="227"/>
      <x:c r="B77" s="227"/>
      <x:c r="C77" s="227"/>
      <x:c r="D77" s="227"/>
      <x:c r="E77" s="227"/>
      <x:c r="F77" s="227"/>
      <x:c r="G77" s="227"/>
      <x:c r="H77" s="227"/>
      <x:c r="I77" s="227"/>
      <x:c r="J77" s="227"/>
      <x:c r="K77" s="227"/>
      <x:c r="L77" s="227"/>
      <x:c r="M77" s="227"/>
      <x:c r="N77" s="227"/>
      <x:c r="O77" s="227"/>
      <x:c r="P77" s="227"/>
      <x:c r="Q77" s="227"/>
      <x:c r="R77" s="227"/>
      <x:c r="S77" s="227"/>
      <x:c r="T77" s="227"/>
      <x:c r="U77" s="227"/>
      <x:c r="V77" s="227"/>
      <x:c r="W77" s="227"/>
      <x:c r="X77" s="227"/>
      <x:c r="Y77" s="227"/>
      <x:c r="Z77" s="227"/>
    </x:row>
    <x:row r="78">
      <x:c r="A78" s="227"/>
      <x:c r="B78" s="227"/>
      <x:c r="C78" s="227"/>
      <x:c r="D78" s="227"/>
      <x:c r="E78" s="227"/>
      <x:c r="F78" s="227"/>
      <x:c r="G78" s="227"/>
      <x:c r="H78" s="227"/>
      <x:c r="I78" s="227"/>
      <x:c r="J78" s="227"/>
      <x:c r="K78" s="227"/>
      <x:c r="L78" s="227"/>
      <x:c r="M78" s="227"/>
      <x:c r="N78" s="227"/>
      <x:c r="O78" s="227"/>
      <x:c r="P78" s="227"/>
      <x:c r="Q78" s="227"/>
      <x:c r="R78" s="227"/>
      <x:c r="S78" s="227"/>
      <x:c r="T78" s="227"/>
      <x:c r="U78" s="227"/>
      <x:c r="V78" s="227"/>
      <x:c r="W78" s="227"/>
      <x:c r="X78" s="227"/>
      <x:c r="Y78" s="227"/>
      <x:c r="Z78" s="227"/>
    </x:row>
    <x:row r="79">
      <x:c r="A79" s="227"/>
      <x:c r="B79" s="227"/>
      <x:c r="C79" s="227"/>
      <x:c r="D79" s="227"/>
      <x:c r="E79" s="227"/>
      <x:c r="F79" s="227"/>
      <x:c r="G79" s="227"/>
      <x:c r="H79" s="227"/>
      <x:c r="I79" s="227"/>
      <x:c r="J79" s="227"/>
      <x:c r="K79" s="227"/>
      <x:c r="L79" s="227"/>
      <x:c r="M79" s="227"/>
      <x:c r="N79" s="227"/>
      <x:c r="O79" s="227"/>
      <x:c r="P79" s="227"/>
      <x:c r="Q79" s="227"/>
      <x:c r="R79" s="227"/>
      <x:c r="S79" s="227"/>
      <x:c r="T79" s="227"/>
      <x:c r="U79" s="227"/>
      <x:c r="V79" s="227"/>
      <x:c r="W79" s="227"/>
      <x:c r="X79" s="227"/>
      <x:c r="Y79" s="227"/>
      <x:c r="Z79" s="227"/>
    </x:row>
    <x:row r="80">
      <x:c r="A80" s="227"/>
      <x:c r="B80" s="227"/>
      <x:c r="C80" s="227"/>
      <x:c r="D80" s="227"/>
      <x:c r="E80" s="227"/>
      <x:c r="F80" s="227"/>
      <x:c r="G80" s="227"/>
      <x:c r="H80" s="227"/>
      <x:c r="I80" s="227"/>
      <x:c r="J80" s="227"/>
      <x:c r="K80" s="227"/>
      <x:c r="L80" s="227"/>
      <x:c r="M80" s="227"/>
      <x:c r="N80" s="227"/>
      <x:c r="O80" s="227"/>
      <x:c r="P80" s="227"/>
      <x:c r="Q80" s="227"/>
      <x:c r="R80" s="227"/>
      <x:c r="S80" s="227"/>
      <x:c r="T80" s="227"/>
      <x:c r="U80" s="227"/>
      <x:c r="V80" s="227"/>
      <x:c r="W80" s="227"/>
      <x:c r="X80" s="227"/>
      <x:c r="Y80" s="227"/>
      <x:c r="Z80" s="227"/>
    </x:row>
    <x:row r="81">
      <x:c r="A81" s="227"/>
      <x:c r="B81" s="227"/>
      <x:c r="C81" s="227"/>
      <x:c r="D81" s="227"/>
      <x:c r="E81" s="227"/>
      <x:c r="F81" s="227"/>
      <x:c r="G81" s="227"/>
      <x:c r="H81" s="227"/>
      <x:c r="I81" s="227"/>
      <x:c r="J81" s="227"/>
      <x:c r="K81" s="227"/>
      <x:c r="L81" s="227"/>
      <x:c r="M81" s="227"/>
      <x:c r="N81" s="227"/>
      <x:c r="O81" s="227"/>
      <x:c r="P81" s="227"/>
      <x:c r="Q81" s="227"/>
      <x:c r="R81" s="227"/>
      <x:c r="S81" s="227"/>
      <x:c r="T81" s="227"/>
      <x:c r="U81" s="227"/>
      <x:c r="V81" s="227"/>
      <x:c r="W81" s="227"/>
      <x:c r="X81" s="227"/>
      <x:c r="Y81" s="227"/>
      <x:c r="Z81" s="227"/>
    </x:row>
    <x:row r="82">
      <x:c r="A82" s="227"/>
      <x:c r="B82" s="227"/>
      <x:c r="C82" s="227"/>
      <x:c r="D82" s="227"/>
      <x:c r="E82" s="227"/>
      <x:c r="F82" s="227"/>
      <x:c r="G82" s="227"/>
      <x:c r="H82" s="227"/>
      <x:c r="I82" s="227"/>
      <x:c r="J82" s="227"/>
      <x:c r="K82" s="227"/>
      <x:c r="L82" s="227"/>
      <x:c r="M82" s="227"/>
      <x:c r="N82" s="227"/>
      <x:c r="O82" s="227"/>
      <x:c r="P82" s="227"/>
      <x:c r="Q82" s="227"/>
      <x:c r="R82" s="227"/>
      <x:c r="S82" s="227"/>
      <x:c r="T82" s="227"/>
      <x:c r="U82" s="227"/>
      <x:c r="V82" s="227"/>
      <x:c r="W82" s="227"/>
      <x:c r="X82" s="227"/>
      <x:c r="Y82" s="227"/>
      <x:c r="Z82" s="227"/>
    </x:row>
    <x:row r="83">
      <x:c r="A83" s="227"/>
      <x:c r="B83" s="227"/>
      <x:c r="C83" s="227"/>
      <x:c r="D83" s="227"/>
      <x:c r="E83" s="227"/>
      <x:c r="F83" s="227"/>
      <x:c r="G83" s="227"/>
      <x:c r="H83" s="227"/>
      <x:c r="I83" s="227"/>
      <x:c r="J83" s="227"/>
      <x:c r="K83" s="227"/>
      <x:c r="L83" s="227"/>
      <x:c r="M83" s="227"/>
      <x:c r="N83" s="227"/>
      <x:c r="O83" s="227"/>
      <x:c r="P83" s="227"/>
      <x:c r="Q83" s="227"/>
      <x:c r="R83" s="227"/>
      <x:c r="S83" s="227"/>
      <x:c r="T83" s="227"/>
      <x:c r="U83" s="227"/>
      <x:c r="V83" s="227"/>
      <x:c r="W83" s="227"/>
      <x:c r="X83" s="227"/>
      <x:c r="Y83" s="227"/>
      <x:c r="Z83" s="227"/>
    </x:row>
    <x:row r="84">
      <x:c r="A84" s="227"/>
      <x:c r="B84" s="227"/>
      <x:c r="C84" s="227"/>
      <x:c r="D84" s="227"/>
      <x:c r="E84" s="227"/>
      <x:c r="F84" s="227"/>
      <x:c r="G84" s="227"/>
      <x:c r="H84" s="227"/>
      <x:c r="I84" s="227"/>
      <x:c r="J84" s="227"/>
      <x:c r="K84" s="227"/>
      <x:c r="L84" s="227"/>
      <x:c r="M84" s="227"/>
      <x:c r="N84" s="227"/>
      <x:c r="O84" s="227"/>
      <x:c r="P84" s="227"/>
      <x:c r="Q84" s="227"/>
      <x:c r="R84" s="227"/>
      <x:c r="S84" s="227"/>
      <x:c r="T84" s="227"/>
      <x:c r="U84" s="227"/>
      <x:c r="V84" s="227"/>
      <x:c r="W84" s="227"/>
      <x:c r="X84" s="227"/>
      <x:c r="Y84" s="227"/>
      <x:c r="Z84" s="227"/>
    </x:row>
    <x:row r="85">
      <x:c r="A85" s="227"/>
      <x:c r="B85" s="227"/>
      <x:c r="C85" s="227"/>
      <x:c r="D85" s="227"/>
      <x:c r="E85" s="227"/>
      <x:c r="F85" s="227"/>
      <x:c r="G85" s="227"/>
      <x:c r="H85" s="227"/>
      <x:c r="I85" s="227"/>
      <x:c r="J85" s="227"/>
      <x:c r="K85" s="227"/>
      <x:c r="L85" s="227"/>
      <x:c r="M85" s="227"/>
      <x:c r="N85" s="227"/>
      <x:c r="O85" s="227"/>
      <x:c r="P85" s="227"/>
      <x:c r="Q85" s="227"/>
      <x:c r="R85" s="227"/>
      <x:c r="S85" s="227"/>
      <x:c r="T85" s="227"/>
      <x:c r="U85" s="227"/>
      <x:c r="V85" s="227"/>
      <x:c r="W85" s="227"/>
      <x:c r="X85" s="227"/>
      <x:c r="Y85" s="227"/>
      <x:c r="Z85" s="227"/>
    </x:row>
    <x:row r="86">
      <x:c r="A86" s="227"/>
      <x:c r="B86" s="227"/>
      <x:c r="C86" s="227"/>
      <x:c r="D86" s="227"/>
      <x:c r="E86" s="227"/>
      <x:c r="F86" s="227"/>
      <x:c r="G86" s="227"/>
      <x:c r="H86" s="227"/>
      <x:c r="I86" s="227"/>
      <x:c r="J86" s="227"/>
      <x:c r="K86" s="227"/>
      <x:c r="L86" s="227"/>
      <x:c r="M86" s="227"/>
      <x:c r="N86" s="227"/>
      <x:c r="O86" s="227"/>
      <x:c r="P86" s="227"/>
      <x:c r="Q86" s="227"/>
      <x:c r="R86" s="227"/>
      <x:c r="S86" s="227"/>
      <x:c r="T86" s="227"/>
      <x:c r="U86" s="227"/>
      <x:c r="V86" s="227"/>
      <x:c r="W86" s="227"/>
      <x:c r="X86" s="227"/>
      <x:c r="Y86" s="227"/>
      <x:c r="Z86" s="227"/>
    </x:row>
    <x:row r="87">
      <x:c r="A87" s="227"/>
      <x:c r="B87" s="227"/>
      <x:c r="C87" s="227"/>
      <x:c r="D87" s="227"/>
      <x:c r="E87" s="227"/>
      <x:c r="F87" s="227"/>
      <x:c r="G87" s="227"/>
      <x:c r="H87" s="227"/>
      <x:c r="I87" s="227"/>
      <x:c r="J87" s="227"/>
      <x:c r="K87" s="227"/>
      <x:c r="L87" s="227"/>
      <x:c r="M87" s="227"/>
      <x:c r="N87" s="227"/>
      <x:c r="O87" s="227"/>
      <x:c r="P87" s="227"/>
      <x:c r="Q87" s="227"/>
      <x:c r="R87" s="227"/>
      <x:c r="S87" s="227"/>
      <x:c r="T87" s="227"/>
      <x:c r="U87" s="227"/>
      <x:c r="V87" s="227"/>
      <x:c r="W87" s="227"/>
      <x:c r="X87" s="227"/>
      <x:c r="Y87" s="227"/>
      <x:c r="Z87" s="227"/>
    </x:row>
    <x:row r="88">
      <x:c r="A88" s="227"/>
      <x:c r="B88" s="227"/>
      <x:c r="C88" s="227"/>
      <x:c r="D88" s="227"/>
      <x:c r="E88" s="227"/>
      <x:c r="F88" s="227"/>
      <x:c r="G88" s="227"/>
      <x:c r="H88" s="227"/>
      <x:c r="I88" s="227"/>
      <x:c r="J88" s="227"/>
      <x:c r="K88" s="227"/>
      <x:c r="L88" s="227"/>
      <x:c r="M88" s="227"/>
      <x:c r="N88" s="227"/>
      <x:c r="O88" s="227"/>
      <x:c r="P88" s="227"/>
      <x:c r="Q88" s="227"/>
      <x:c r="R88" s="227"/>
      <x:c r="S88" s="227"/>
      <x:c r="T88" s="227"/>
      <x:c r="U88" s="227"/>
      <x:c r="V88" s="227"/>
      <x:c r="W88" s="227"/>
      <x:c r="X88" s="227"/>
      <x:c r="Y88" s="227"/>
      <x:c r="Z88" s="227"/>
    </x:row>
    <x:row r="89">
      <x:c r="A89" s="227"/>
      <x:c r="B89" s="227"/>
      <x:c r="C89" s="227"/>
      <x:c r="D89" s="227"/>
      <x:c r="E89" s="227"/>
      <x:c r="F89" s="227"/>
      <x:c r="G89" s="227"/>
      <x:c r="H89" s="227"/>
      <x:c r="I89" s="227"/>
      <x:c r="J89" s="227"/>
      <x:c r="K89" s="227"/>
      <x:c r="L89" s="227"/>
      <x:c r="M89" s="227"/>
      <x:c r="N89" s="227"/>
      <x:c r="O89" s="227"/>
      <x:c r="P89" s="227"/>
      <x:c r="Q89" s="227"/>
      <x:c r="R89" s="227"/>
      <x:c r="S89" s="227"/>
      <x:c r="T89" s="227"/>
      <x:c r="U89" s="227"/>
      <x:c r="V89" s="227"/>
      <x:c r="W89" s="227"/>
      <x:c r="X89" s="227"/>
      <x:c r="Y89" s="227"/>
      <x:c r="Z89" s="227"/>
    </x:row>
    <x:row r="90">
      <x:c r="A90" s="227"/>
      <x:c r="B90" s="227"/>
      <x:c r="C90" s="227"/>
      <x:c r="D90" s="227"/>
      <x:c r="E90" s="227"/>
      <x:c r="F90" s="227"/>
      <x:c r="G90" s="227"/>
      <x:c r="H90" s="227"/>
      <x:c r="I90" s="227"/>
      <x:c r="J90" s="227"/>
      <x:c r="K90" s="227"/>
      <x:c r="L90" s="227"/>
      <x:c r="M90" s="227"/>
      <x:c r="N90" s="227"/>
      <x:c r="O90" s="227"/>
      <x:c r="P90" s="227"/>
      <x:c r="Q90" s="227"/>
      <x:c r="R90" s="227"/>
      <x:c r="S90" s="227"/>
      <x:c r="T90" s="227"/>
      <x:c r="U90" s="227"/>
      <x:c r="V90" s="227"/>
      <x:c r="W90" s="227"/>
      <x:c r="X90" s="227"/>
      <x:c r="Y90" s="227"/>
      <x:c r="Z90" s="227"/>
    </x:row>
    <x:row r="91">
      <x:c r="A91" s="227"/>
      <x:c r="B91" s="227"/>
      <x:c r="C91" s="227"/>
      <x:c r="D91" s="227"/>
      <x:c r="E91" s="227"/>
      <x:c r="F91" s="227"/>
      <x:c r="G91" s="227"/>
      <x:c r="H91" s="227"/>
      <x:c r="I91" s="227"/>
      <x:c r="J91" s="227"/>
      <x:c r="K91" s="227"/>
      <x:c r="L91" s="227"/>
      <x:c r="M91" s="227"/>
      <x:c r="N91" s="227"/>
      <x:c r="O91" s="227"/>
      <x:c r="P91" s="227"/>
      <x:c r="Q91" s="227"/>
      <x:c r="R91" s="227"/>
      <x:c r="S91" s="227"/>
      <x:c r="T91" s="227"/>
      <x:c r="U91" s="227"/>
      <x:c r="V91" s="227"/>
      <x:c r="W91" s="227"/>
      <x:c r="X91" s="227"/>
      <x:c r="Y91" s="227"/>
      <x:c r="Z91" s="227"/>
    </x:row>
    <x:row r="92">
      <x:c r="A92" s="227"/>
      <x:c r="B92" s="227"/>
      <x:c r="C92" s="227"/>
      <x:c r="D92" s="227"/>
      <x:c r="E92" s="227"/>
      <x:c r="F92" s="227"/>
      <x:c r="G92" s="227"/>
      <x:c r="H92" s="227"/>
      <x:c r="I92" s="227"/>
      <x:c r="J92" s="227"/>
      <x:c r="K92" s="227"/>
      <x:c r="L92" s="227"/>
      <x:c r="M92" s="227"/>
      <x:c r="N92" s="227"/>
      <x:c r="O92" s="227"/>
      <x:c r="P92" s="227"/>
      <x:c r="Q92" s="227"/>
      <x:c r="R92" s="227"/>
      <x:c r="S92" s="227"/>
      <x:c r="T92" s="227"/>
      <x:c r="U92" s="227"/>
      <x:c r="V92" s="227"/>
      <x:c r="W92" s="227"/>
      <x:c r="X92" s="227"/>
      <x:c r="Y92" s="227"/>
      <x:c r="Z92" s="227"/>
    </x:row>
    <x:row r="93">
      <x:c r="A93" s="227"/>
      <x:c r="B93" s="227"/>
      <x:c r="C93" s="227"/>
      <x:c r="D93" s="227"/>
      <x:c r="E93" s="227"/>
      <x:c r="F93" s="227"/>
      <x:c r="G93" s="227"/>
      <x:c r="H93" s="227"/>
      <x:c r="I93" s="227"/>
      <x:c r="J93" s="227"/>
      <x:c r="K93" s="227"/>
      <x:c r="L93" s="227"/>
      <x:c r="M93" s="227"/>
      <x:c r="N93" s="227"/>
      <x:c r="O93" s="227"/>
      <x:c r="P93" s="227"/>
      <x:c r="Q93" s="227"/>
      <x:c r="R93" s="227"/>
      <x:c r="S93" s="227"/>
      <x:c r="T93" s="227"/>
      <x:c r="U93" s="227"/>
      <x:c r="V93" s="227"/>
      <x:c r="W93" s="227"/>
      <x:c r="X93" s="227"/>
      <x:c r="Y93" s="227"/>
      <x:c r="Z93" s="227"/>
    </x:row>
    <x:row r="94">
      <x:c r="A94" s="227"/>
      <x:c r="B94" s="227"/>
      <x:c r="C94" s="227"/>
      <x:c r="D94" s="227"/>
      <x:c r="E94" s="227"/>
      <x:c r="F94" s="227"/>
      <x:c r="G94" s="227"/>
      <x:c r="H94" s="227"/>
      <x:c r="I94" s="227"/>
      <x:c r="J94" s="227"/>
      <x:c r="K94" s="227"/>
      <x:c r="L94" s="227"/>
      <x:c r="M94" s="227"/>
      <x:c r="N94" s="227"/>
      <x:c r="O94" s="227"/>
      <x:c r="P94" s="227"/>
      <x:c r="Q94" s="227"/>
      <x:c r="R94" s="227"/>
      <x:c r="S94" s="227"/>
      <x:c r="T94" s="227"/>
      <x:c r="U94" s="227"/>
      <x:c r="V94" s="227"/>
      <x:c r="W94" s="227"/>
      <x:c r="X94" s="227"/>
      <x:c r="Y94" s="227"/>
      <x:c r="Z94" s="227"/>
    </x:row>
    <x:row r="95">
      <x:c r="A95" s="227"/>
      <x:c r="B95" s="227"/>
      <x:c r="C95" s="227"/>
      <x:c r="D95" s="227"/>
      <x:c r="E95" s="227"/>
      <x:c r="F95" s="227"/>
      <x:c r="G95" s="227"/>
      <x:c r="H95" s="227"/>
      <x:c r="I95" s="227"/>
      <x:c r="J95" s="227"/>
      <x:c r="K95" s="227"/>
      <x:c r="L95" s="227"/>
      <x:c r="M95" s="227"/>
      <x:c r="N95" s="227"/>
      <x:c r="O95" s="227"/>
      <x:c r="P95" s="227"/>
      <x:c r="Q95" s="227"/>
      <x:c r="R95" s="227"/>
      <x:c r="S95" s="227"/>
      <x:c r="T95" s="227"/>
      <x:c r="U95" s="227"/>
      <x:c r="V95" s="227"/>
      <x:c r="W95" s="227"/>
      <x:c r="X95" s="227"/>
      <x:c r="Y95" s="227"/>
      <x:c r="Z95" s="227"/>
    </x:row>
    <x:row r="96">
      <x:c r="A96" s="227"/>
      <x:c r="B96" s="227"/>
      <x:c r="C96" s="227"/>
      <x:c r="D96" s="227"/>
      <x:c r="E96" s="227"/>
      <x:c r="F96" s="227"/>
      <x:c r="G96" s="227"/>
      <x:c r="H96" s="227"/>
      <x:c r="I96" s="227"/>
      <x:c r="J96" s="227"/>
      <x:c r="K96" s="227"/>
      <x:c r="L96" s="227"/>
      <x:c r="M96" s="227"/>
      <x:c r="N96" s="227"/>
      <x:c r="O96" s="227"/>
      <x:c r="P96" s="227"/>
      <x:c r="Q96" s="227"/>
      <x:c r="R96" s="227"/>
      <x:c r="S96" s="227"/>
      <x:c r="T96" s="227"/>
      <x:c r="U96" s="227"/>
      <x:c r="V96" s="227"/>
      <x:c r="W96" s="227"/>
      <x:c r="X96" s="227"/>
      <x:c r="Y96" s="227"/>
      <x:c r="Z96" s="227"/>
    </x:row>
    <x:row r="97">
      <x:c r="A97" s="227"/>
      <x:c r="B97" s="227"/>
      <x:c r="C97" s="227"/>
      <x:c r="D97" s="227"/>
      <x:c r="E97" s="227"/>
      <x:c r="F97" s="227"/>
      <x:c r="G97" s="227"/>
      <x:c r="H97" s="227"/>
      <x:c r="I97" s="227"/>
      <x:c r="J97" s="227"/>
      <x:c r="K97" s="227"/>
      <x:c r="L97" s="227"/>
      <x:c r="M97" s="227"/>
      <x:c r="N97" s="227"/>
      <x:c r="O97" s="227"/>
      <x:c r="P97" s="227"/>
      <x:c r="Q97" s="227"/>
      <x:c r="R97" s="227"/>
      <x:c r="S97" s="227"/>
      <x:c r="T97" s="227"/>
      <x:c r="U97" s="227"/>
      <x:c r="V97" s="227"/>
      <x:c r="W97" s="227"/>
      <x:c r="X97" s="227"/>
      <x:c r="Y97" s="227"/>
      <x:c r="Z97" s="227"/>
    </x:row>
    <x:row r="98">
      <x:c r="A98" s="227"/>
      <x:c r="B98" s="227"/>
      <x:c r="C98" s="227"/>
      <x:c r="D98" s="227"/>
      <x:c r="E98" s="227"/>
      <x:c r="F98" s="227"/>
      <x:c r="G98" s="227"/>
      <x:c r="H98" s="227"/>
      <x:c r="I98" s="227"/>
      <x:c r="J98" s="227"/>
      <x:c r="K98" s="227"/>
      <x:c r="L98" s="227"/>
      <x:c r="M98" s="227"/>
      <x:c r="N98" s="227"/>
      <x:c r="O98" s="227"/>
      <x:c r="P98" s="227"/>
      <x:c r="Q98" s="227"/>
      <x:c r="R98" s="227"/>
      <x:c r="S98" s="227"/>
      <x:c r="T98" s="227"/>
      <x:c r="U98" s="227"/>
      <x:c r="V98" s="227"/>
      <x:c r="W98" s="227"/>
      <x:c r="X98" s="227"/>
      <x:c r="Y98" s="227"/>
      <x:c r="Z98" s="227"/>
    </x:row>
    <x:row r="99">
      <x:c r="A99" s="227"/>
      <x:c r="B99" s="227"/>
      <x:c r="C99" s="227"/>
      <x:c r="D99" s="227"/>
      <x:c r="E99" s="227"/>
      <x:c r="F99" s="227"/>
      <x:c r="G99" s="227"/>
      <x:c r="H99" s="227"/>
      <x:c r="I99" s="227"/>
      <x:c r="J99" s="227"/>
      <x:c r="K99" s="227"/>
      <x:c r="L99" s="227"/>
      <x:c r="M99" s="227"/>
      <x:c r="N99" s="227"/>
      <x:c r="O99" s="227"/>
      <x:c r="P99" s="227"/>
      <x:c r="Q99" s="227"/>
      <x:c r="R99" s="227"/>
      <x:c r="S99" s="227"/>
      <x:c r="T99" s="227"/>
      <x:c r="U99" s="227"/>
      <x:c r="V99" s="227"/>
      <x:c r="W99" s="227"/>
      <x:c r="X99" s="227"/>
      <x:c r="Y99" s="227"/>
      <x:c r="Z99" s="227"/>
    </x:row>
    <x:row r="100">
      <x:c r="A100" s="227"/>
      <x:c r="B100" s="227"/>
      <x:c r="C100" s="227"/>
      <x:c r="D100" s="227"/>
      <x:c r="E100" s="227"/>
      <x:c r="F100" s="227"/>
      <x:c r="G100" s="227"/>
      <x:c r="H100" s="227"/>
      <x:c r="I100" s="227"/>
      <x:c r="J100" s="227"/>
      <x:c r="K100" s="227"/>
      <x:c r="L100" s="227"/>
      <x:c r="M100" s="227"/>
      <x:c r="N100" s="227"/>
      <x:c r="O100" s="227"/>
      <x:c r="P100" s="227"/>
      <x:c r="Q100" s="227"/>
      <x:c r="R100" s="227"/>
      <x:c r="S100" s="227"/>
      <x:c r="T100" s="227"/>
      <x:c r="U100" s="227"/>
      <x:c r="V100" s="227"/>
      <x:c r="W100" s="227"/>
      <x:c r="X100" s="227"/>
      <x:c r="Y100" s="227"/>
      <x:c r="Z100" s="227"/>
    </x:row>
  </x:sheetData>
  <x:mergeCells>
    <x:mergeCell ref="A1:D1"/>
    <x:mergeCell ref="A2:D2"/>
    <x:mergeCell ref="A1:E1"/>
  </x:mergeCells>
  <x:conditionalFormatting sqref="D4:D10">
    <x:cfRule type="expression" dxfId="4" priority="1">
      <x:formula>D4="PASS"</x:formula>
    </x:cfRule>
    <x:cfRule type="expression" dxfId="5" priority="2">
      <x:formula>D4="FAIL"</x:formula>
    </x:cfRule>
  </x:conditionalFormatting>
  <x:conditionalFormatting sqref="D3:D22">
    <x:cfRule type="expression" dxfId="6" priority="3">
      <x:formula>D3="PASS"</x:formula>
    </x:cfRule>
    <x:cfRule type="expression" dxfId="7" priority="4">
      <x:formula>D3="FAIL"</x:formula>
    </x:cfRule>
  </x:conditionalFormatting>
  <x:pageMargins left="0.7" right="0.7" top="0.75" bottom="0.75" header="0.3" footer="0.3"/>
</x:worksheet>
</file>

<file path=xl/worksheets/sheet9.xml><?xml version="1.0" encoding="utf-8"?>
<x:worksheet xmlns:x="http://schemas.openxmlformats.org/spreadsheetml/2006/main">
  <x:sheetFormatPr defaultRowHeight="15"/>
  <x:cols>
    <x:col min="1" max="1" width="38" hidden="0" customWidth="1"/>
    <x:col min="2" max="2" width="11" hidden="0" customWidth="1"/>
    <x:col min="3" max="3" width="16" hidden="0" customWidth="1"/>
    <x:col min="4" max="4" width="11" hidden="0" customWidth="1"/>
    <x:col min="5" max="5" width="11" hidden="0" customWidth="1"/>
    <x:col min="6" max="6" width="11" hidden="0" customWidth="1"/>
    <x:col min="7" max="7" width="11" hidden="0" customWidth="1"/>
    <x:col min="8" max="8" width="46"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 min="19" max="19" width="11" hidden="0" customWidth="1"/>
    <x:col min="20" max="20" width="11" hidden="0" customWidth="1"/>
    <x:col min="21" max="21" width="11" hidden="0" customWidth="1"/>
    <x:col min="22" max="22" width="11" hidden="0" customWidth="1"/>
  </x:cols>
  <x:sheetData>
    <x:row r="1" ht="30" customHeight="1">
      <x:c r="A1" s="450" t="str">
        <x:v>MAGNÆRA™ — PERSONNEL &amp; FIXED OPEX BUILD — PROFESSIONAL INVESTOR VIEW</x:v>
      </x:c>
      <x:c r="B1" s="450"/>
      <x:c r="C1" s="450"/>
      <x:c r="D1" s="450"/>
      <x:c r="E1" s="450"/>
      <x:c r="F1" s="450"/>
      <x:c r="G1" s="450"/>
      <x:c r="H1" s="450"/>
      <x:c r="I1" s="450"/>
      <x:c r="J1" s="450"/>
      <x:c r="K1" s="450"/>
      <x:c r="L1" s="450"/>
      <x:c r="M1" s="450"/>
      <x:c r="N1" s="450"/>
      <x:c r="O1" s="450"/>
      <x:c r="P1" s="450"/>
      <x:c r="Q1" s="450"/>
      <x:c r="R1" s="450"/>
      <x:c r="S1" s="450"/>
      <x:c r="T1" s="450"/>
      <x:c r="U1" s="450"/>
      <x:c r="V1" s="450"/>
    </x:row>
    <x:row r="2" ht="32" customHeight="1">
      <x:c r="A2" s="436" t="str">
        <x:v>The original OPEX tiers are preserved through 499 active machines. From 500+ machines, fixed OPEX continues to scale by category instead of remaining artificially flat. The mature internal logistics line is excluded while the 7% outsourced logistics charge remains active.</x:v>
      </x:c>
      <x:c r="B2" s="436"/>
      <x:c r="C2" s="436"/>
      <x:c r="D2" s="436"/>
      <x:c r="E2" s="436"/>
      <x:c r="F2" s="436"/>
      <x:c r="G2" s="436"/>
      <x:c r="H2" s="436"/>
      <x:c r="I2" s="436"/>
      <x:c r="J2" s="436"/>
      <x:c r="K2" s="436"/>
      <x:c r="L2" s="436"/>
      <x:c r="M2" s="436"/>
      <x:c r="N2" s="436"/>
      <x:c r="O2" s="436"/>
      <x:c r="P2" s="436"/>
      <x:c r="Q2" s="436"/>
      <x:c r="R2" s="436"/>
      <x:c r="S2" s="436"/>
      <x:c r="T2" s="436"/>
      <x:c r="U2" s="436"/>
      <x:c r="V2" s="436"/>
    </x:row>
    <x:row r="3">
      <x:c r="A3" s="61"/>
      <x:c r="B3" s="61"/>
      <x:c r="C3" s="61"/>
      <x:c r="D3" s="61"/>
      <x:c r="E3" s="61"/>
      <x:c r="F3" s="61"/>
      <x:c r="G3" s="61"/>
      <x:c r="H3" s="61"/>
      <x:c r="I3" s="61"/>
      <x:c r="J3" s="61"/>
      <x:c r="K3" s="61"/>
      <x:c r="L3" s="61"/>
      <x:c r="M3" s="61"/>
      <x:c r="N3" s="61"/>
      <x:c r="O3" s="61"/>
      <x:c r="P3" s="61"/>
      <x:c r="Q3" s="61"/>
      <x:c r="R3" s="61"/>
      <x:c r="S3" s="61"/>
      <x:c r="T3" s="61"/>
      <x:c r="U3" s="61"/>
      <x:c r="V3" s="61"/>
    </x:row>
    <x:row r="4">
      <x:c r="A4" s="451" t="str">
        <x:v>Month</x:v>
      </x:c>
      <x:c r="B4" s="452" t="n">
        <x:v>46235</x:v>
      </x:c>
      <x:c r="C4" s="452" t="n">
        <x:v>46266</x:v>
      </x:c>
      <x:c r="D4" s="452" t="n">
        <x:v>46296</x:v>
      </x:c>
      <x:c r="E4" s="452" t="n">
        <x:v>46327</x:v>
      </x:c>
      <x:c r="F4" s="452" t="n">
        <x:v>46357</x:v>
      </x:c>
      <x:c r="G4" s="452" t="n">
        <x:v>46388</x:v>
      </x:c>
      <x:c r="H4" s="452" t="n">
        <x:v>46419</x:v>
      </x:c>
      <x:c r="I4" s="452" t="n">
        <x:v>46447</x:v>
      </x:c>
      <x:c r="J4" s="452" t="n">
        <x:v>46478</x:v>
      </x:c>
      <x:c r="K4" s="452" t="n">
        <x:v>46508</x:v>
      </x:c>
      <x:c r="L4" s="452" t="n">
        <x:v>46539</x:v>
      </x:c>
      <x:c r="M4" s="452" t="n">
        <x:v>46569</x:v>
      </x:c>
      <x:c r="N4" s="452" t="n">
        <x:v>46600</x:v>
      </x:c>
      <x:c r="O4" s="452" t="n">
        <x:v>46631</x:v>
      </x:c>
      <x:c r="P4" s="452" t="n">
        <x:v>46661</x:v>
      </x:c>
      <x:c r="Q4" s="452" t="n">
        <x:v>46692</x:v>
      </x:c>
      <x:c r="R4" s="452" t="n">
        <x:v>46722</x:v>
      </x:c>
      <x:c r="S4" s="452" t="n">
        <x:v>46753</x:v>
      </x:c>
      <x:c r="T4" s="452" t="n">
        <x:v>46784</x:v>
      </x:c>
      <x:c r="U4" s="452" t="n">
        <x:v>46813</x:v>
      </x:c>
      <x:c r="V4" s="452" t="n">
        <x:v>46844</x:v>
      </x:c>
    </x:row>
    <x:row r="5">
      <x:c r="A5" s="61"/>
      <x:c r="B5" s="61"/>
      <x:c r="C5" s="61"/>
      <x:c r="D5" s="61"/>
      <x:c r="E5" s="61"/>
      <x:c r="F5" s="61"/>
      <x:c r="G5" s="61"/>
      <x:c r="H5" s="61"/>
      <x:c r="I5" s="61"/>
      <x:c r="J5" s="61"/>
      <x:c r="K5" s="61"/>
      <x:c r="L5" s="61"/>
      <x:c r="M5" s="61"/>
      <x:c r="N5" s="61"/>
      <x:c r="O5" s="61"/>
      <x:c r="P5" s="61"/>
      <x:c r="Q5" s="61"/>
      <x:c r="R5" s="61"/>
      <x:c r="S5" s="61"/>
      <x:c r="T5" s="61"/>
      <x:c r="U5" s="61"/>
      <x:c r="V5" s="61"/>
    </x:row>
    <x:row r="6">
      <x:c r="A6" s="453" t="str">
        <x:v>SCENARIO 1 — ORGANIC COMPOUNDING: PERSONNEL &amp; FIXED OPEX</x:v>
      </x:c>
      <x:c r="B6" s="453"/>
      <x:c r="C6" s="453"/>
      <x:c r="D6" s="453"/>
      <x:c r="E6" s="453"/>
      <x:c r="F6" s="453"/>
      <x:c r="G6" s="453"/>
      <x:c r="H6" s="453"/>
      <x:c r="I6" s="453"/>
      <x:c r="J6" s="453"/>
      <x:c r="K6" s="453"/>
      <x:c r="L6" s="453"/>
      <x:c r="M6" s="453"/>
      <x:c r="N6" s="453"/>
      <x:c r="O6" s="453"/>
      <x:c r="P6" s="453"/>
      <x:c r="Q6" s="453"/>
      <x:c r="R6" s="453"/>
      <x:c r="S6" s="453"/>
      <x:c r="T6" s="453"/>
      <x:c r="U6" s="453"/>
      <x:c r="V6" s="453"/>
    </x:row>
    <x:row r="7">
      <x:c r="A7" s="61" t="str">
        <x:v>Active physical machines</x:v>
      </x:c>
      <x:c r="B7" s="454" t="n">
        <x:f>'Scenario 1 Organic'!B18</x:f>
        <x:v>0</x:v>
      </x:c>
      <x:c r="C7" s="454" t="n">
        <x:f>'Scenario 1 Organic'!C18</x:f>
        <x:v>0</x:v>
      </x:c>
      <x:c r="D7" s="454" t="n">
        <x:f>'Scenario 1 Organic'!D18</x:f>
        <x:v>2</x:v>
      </x:c>
      <x:c r="E7" s="454" t="n">
        <x:f>'Scenario 1 Organic'!E18</x:f>
        <x:v>2</x:v>
      </x:c>
      <x:c r="F7" s="454" t="n">
        <x:f>'Scenario 1 Organic'!F18</x:f>
        <x:v>2</x:v>
      </x:c>
      <x:c r="G7" s="454" t="n">
        <x:f>'Scenario 1 Organic'!G18</x:f>
        <x:v>2</x:v>
      </x:c>
      <x:c r="H7" s="454" t="n">
        <x:f>'Scenario 1 Organic'!H18</x:f>
        <x:v>2</x:v>
      </x:c>
      <x:c r="I7" s="454" t="n">
        <x:f>'Scenario 1 Organic'!I18</x:f>
        <x:v>32</x:v>
      </x:c>
      <x:c r="J7" s="454" t="n">
        <x:f>'Scenario 1 Organic'!J18</x:f>
        <x:v>32</x:v>
      </x:c>
      <x:c r="K7" s="454" t="n">
        <x:f>'Scenario 1 Organic'!K18</x:f>
        <x:v>32</x:v>
      </x:c>
      <x:c r="L7" s="454" t="n">
        <x:f>'Scenario 1 Organic'!L18</x:f>
        <x:v>32</x:v>
      </x:c>
      <x:c r="M7" s="454" t="n">
        <x:f>'Scenario 1 Organic'!M18</x:f>
        <x:v>32</x:v>
      </x:c>
      <x:c r="N7" s="454" t="n">
        <x:f>'Scenario 1 Organic'!N18</x:f>
        <x:v>32</x:v>
      </x:c>
      <x:c r="O7" s="454" t="n">
        <x:f>'Scenario 1 Organic'!O18</x:f>
        <x:v>32</x:v>
      </x:c>
      <x:c r="P7" s="454" t="n">
        <x:f>'Scenario 1 Organic'!P18</x:f>
        <x:v>72</x:v>
      </x:c>
      <x:c r="Q7" s="454" t="n">
        <x:f>'Scenario 1 Organic'!Q18</x:f>
        <x:v>72</x:v>
      </x:c>
      <x:c r="R7" s="454" t="n">
        <x:f>'Scenario 1 Organic'!R18</x:f>
        <x:v>132</x:v>
      </x:c>
      <x:c r="S7" s="454" t="n">
        <x:f>'Scenario 1 Organic'!S18</x:f>
        <x:v>132</x:v>
      </x:c>
      <x:c r="T7" s="454" t="n">
        <x:f>'Scenario 1 Organic'!T18</x:f>
        <x:v>202</x:v>
      </x:c>
      <x:c r="U7" s="454" t="n">
        <x:f>'Scenario 1 Organic'!U18</x:f>
        <x:v>202</x:v>
      </x:c>
      <x:c r="V7" s="454" t="n">
        <x:f>'Scenario 1 Organic'!V18</x:f>
        <x:v>402</x:v>
      </x:c>
    </x:row>
    <x:row r="8">
      <x:c r="A8" s="61" t="str">
        <x:v>Fixed OPEX target / month</x:v>
      </x:c>
      <x:c r="B8" s="455" t="n">
        <x:f>IF(B$4&lt;Assumptions!$B$19,0,IF(B7&lt;=499,VLOOKUP(MAX(B7,0),'OPEX Scale'!$A$4:$C$10,3,TRUE),(142346*(MAX(1,B7/500)^Assumptions!$B$97))+(33892*(MAX(1,B7/500)^Assumptions!$B$99))+(44059*(MAX(1,B7/500)^Assumptions!$B$98))+(27113*(MAX(1,B7/500)^Assumptions!$B$100))+(40670*(MAX(1,B7/500)^Assumptions!$B$101))))</x:f>
        <x:v>0</x:v>
      </x:c>
      <x:c r="C8" s="455" t="n">
        <x:f>IF(C$4&lt;Assumptions!$B$19,0,IF(C7&lt;=499,VLOOKUP(MAX(C7,0),'OPEX Scale'!$A$4:$C$10,3,TRUE),(142346*(MAX(1,C7/500)^Assumptions!$B$97))+(33892*(MAX(1,C7/500)^Assumptions!$B$99))+(44059*(MAX(1,C7/500)^Assumptions!$B$98))+(27113*(MAX(1,C7/500)^Assumptions!$B$100))+(40670*(MAX(1,C7/500)^Assumptions!$B$101))))</x:f>
        <x:v>15700</x:v>
      </x:c>
      <x:c r="D8" s="455" t="n">
        <x:f>IF(D$4&lt;Assumptions!$B$19,0,IF(D7&lt;=499,VLOOKUP(MAX(D7,0),'OPEX Scale'!$A$4:$C$10,3,TRUE),(142346*(MAX(1,D7/500)^Assumptions!$B$97))+(33892*(MAX(1,D7/500)^Assumptions!$B$99))+(44059*(MAX(1,D7/500)^Assumptions!$B$98))+(27113*(MAX(1,D7/500)^Assumptions!$B$100))+(40670*(MAX(1,D7/500)^Assumptions!$B$101))))</x:f>
        <x:v>15700</x:v>
      </x:c>
      <x:c r="E8" s="455" t="n">
        <x:f>IF(E$4&lt;Assumptions!$B$19,0,IF(E7&lt;=499,VLOOKUP(MAX(E7,0),'OPEX Scale'!$A$4:$C$10,3,TRUE),(142346*(MAX(1,E7/500)^Assumptions!$B$97))+(33892*(MAX(1,E7/500)^Assumptions!$B$99))+(44059*(MAX(1,E7/500)^Assumptions!$B$98))+(27113*(MAX(1,E7/500)^Assumptions!$B$100))+(40670*(MAX(1,E7/500)^Assumptions!$B$101))))</x:f>
        <x:v>15700</x:v>
      </x:c>
      <x:c r="F8" s="455" t="n">
        <x:f>IF(F$4&lt;Assumptions!$B$19,0,IF(F7&lt;=499,VLOOKUP(MAX(F7,0),'OPEX Scale'!$A$4:$C$10,3,TRUE),(142346*(MAX(1,F7/500)^Assumptions!$B$97))+(33892*(MAX(1,F7/500)^Assumptions!$B$99))+(44059*(MAX(1,F7/500)^Assumptions!$B$98))+(27113*(MAX(1,F7/500)^Assumptions!$B$100))+(40670*(MAX(1,F7/500)^Assumptions!$B$101))))</x:f>
        <x:v>15700</x:v>
      </x:c>
      <x:c r="G8" s="455" t="n">
        <x:f>IF(G$4&lt;Assumptions!$B$19,0,IF(G7&lt;=499,VLOOKUP(MAX(G7,0),'OPEX Scale'!$A$4:$C$10,3,TRUE),(142346*(MAX(1,G7/500)^Assumptions!$B$97))+(33892*(MAX(1,G7/500)^Assumptions!$B$99))+(44059*(MAX(1,G7/500)^Assumptions!$B$98))+(27113*(MAX(1,G7/500)^Assumptions!$B$100))+(40670*(MAX(1,G7/500)^Assumptions!$B$101))))</x:f>
        <x:v>15700</x:v>
      </x:c>
      <x:c r="H8" s="455" t="n">
        <x:f>IF(H$4&lt;Assumptions!$B$19,0,IF(H7&lt;=499,VLOOKUP(MAX(H7,0),'OPEX Scale'!$A$4:$C$10,3,TRUE),(142346*(MAX(1,H7/500)^Assumptions!$B$97))+(33892*(MAX(1,H7/500)^Assumptions!$B$99))+(44059*(MAX(1,H7/500)^Assumptions!$B$98))+(27113*(MAX(1,H7/500)^Assumptions!$B$100))+(40670*(MAX(1,H7/500)^Assumptions!$B$101))))</x:f>
        <x:v>15700</x:v>
      </x:c>
      <x:c r="I8" s="455" t="n">
        <x:f>IF(I$4&lt;Assumptions!$B$19,0,IF(I7&lt;=499,VLOOKUP(MAX(I7,0),'OPEX Scale'!$A$4:$C$10,3,TRUE),(142346*(MAX(1,I7/500)^Assumptions!$B$97))+(33892*(MAX(1,I7/500)^Assumptions!$B$99))+(44059*(MAX(1,I7/500)^Assumptions!$B$98))+(27113*(MAX(1,I7/500)^Assumptions!$B$100))+(40670*(MAX(1,I7/500)^Assumptions!$B$101))))</x:f>
        <x:v>15700</x:v>
      </x:c>
      <x:c r="J8" s="455" t="n">
        <x:f>IF(J$4&lt;Assumptions!$B$19,0,IF(J7&lt;=499,VLOOKUP(MAX(J7,0),'OPEX Scale'!$A$4:$C$10,3,TRUE),(142346*(MAX(1,J7/500)^Assumptions!$B$97))+(33892*(MAX(1,J7/500)^Assumptions!$B$99))+(44059*(MAX(1,J7/500)^Assumptions!$B$98))+(27113*(MAX(1,J7/500)^Assumptions!$B$100))+(40670*(MAX(1,J7/500)^Assumptions!$B$101))))</x:f>
        <x:v>15700</x:v>
      </x:c>
      <x:c r="K8" s="455" t="n">
        <x:f>IF(K$4&lt;Assumptions!$B$19,0,IF(K7&lt;=499,VLOOKUP(MAX(K7,0),'OPEX Scale'!$A$4:$C$10,3,TRUE),(142346*(MAX(1,K7/500)^Assumptions!$B$97))+(33892*(MAX(1,K7/500)^Assumptions!$B$99))+(44059*(MAX(1,K7/500)^Assumptions!$B$98))+(27113*(MAX(1,K7/500)^Assumptions!$B$100))+(40670*(MAX(1,K7/500)^Assumptions!$B$101))))</x:f>
        <x:v>15700</x:v>
      </x:c>
      <x:c r="L8" s="455" t="n">
        <x:f>IF(L$4&lt;Assumptions!$B$19,0,IF(L7&lt;=499,VLOOKUP(MAX(L7,0),'OPEX Scale'!$A$4:$C$10,3,TRUE),(142346*(MAX(1,L7/500)^Assumptions!$B$97))+(33892*(MAX(1,L7/500)^Assumptions!$B$99))+(44059*(MAX(1,L7/500)^Assumptions!$B$98))+(27113*(MAX(1,L7/500)^Assumptions!$B$100))+(40670*(MAX(1,L7/500)^Assumptions!$B$101))))</x:f>
        <x:v>15700</x:v>
      </x:c>
      <x:c r="M8" s="455" t="n">
        <x:f>IF(M$4&lt;Assumptions!$B$19,0,IF(M7&lt;=499,VLOOKUP(MAX(M7,0),'OPEX Scale'!$A$4:$C$10,3,TRUE),(142346*(MAX(1,M7/500)^Assumptions!$B$97))+(33892*(MAX(1,M7/500)^Assumptions!$B$99))+(44059*(MAX(1,M7/500)^Assumptions!$B$98))+(27113*(MAX(1,M7/500)^Assumptions!$B$100))+(40670*(MAX(1,M7/500)^Assumptions!$B$101))))</x:f>
        <x:v>15700</x:v>
      </x:c>
      <x:c r="N8" s="455" t="n">
        <x:f>IF(N$4&lt;Assumptions!$B$19,0,IF(N7&lt;=499,VLOOKUP(MAX(N7,0),'OPEX Scale'!$A$4:$C$10,3,TRUE),(142346*(MAX(1,N7/500)^Assumptions!$B$97))+(33892*(MAX(1,N7/500)^Assumptions!$B$99))+(44059*(MAX(1,N7/500)^Assumptions!$B$98))+(27113*(MAX(1,N7/500)^Assumptions!$B$100))+(40670*(MAX(1,N7/500)^Assumptions!$B$101))))</x:f>
        <x:v>15700</x:v>
      </x:c>
      <x:c r="O8" s="455" t="n">
        <x:f>IF(O$4&lt;Assumptions!$B$19,0,IF(O7&lt;=499,VLOOKUP(MAX(O7,0),'OPEX Scale'!$A$4:$C$10,3,TRUE),(142346*(MAX(1,O7/500)^Assumptions!$B$97))+(33892*(MAX(1,O7/500)^Assumptions!$B$99))+(44059*(MAX(1,O7/500)^Assumptions!$B$98))+(27113*(MAX(1,O7/500)^Assumptions!$B$100))+(40670*(MAX(1,O7/500)^Assumptions!$B$101))))</x:f>
        <x:v>15700</x:v>
      </x:c>
      <x:c r="P8" s="455" t="n">
        <x:f>IF(P$4&lt;Assumptions!$B$19,0,IF(P7&lt;=499,VLOOKUP(MAX(P7,0),'OPEX Scale'!$A$4:$C$10,3,TRUE),(142346*(MAX(1,P7/500)^Assumptions!$B$97))+(33892*(MAX(1,P7/500)^Assumptions!$B$99))+(44059*(MAX(1,P7/500)^Assumptions!$B$98))+(27113*(MAX(1,P7/500)^Assumptions!$B$100))+(40670*(MAX(1,P7/500)^Assumptions!$B$101))))</x:f>
        <x:v>30000</x:v>
      </x:c>
      <x:c r="Q8" s="455" t="n">
        <x:f>IF(Q$4&lt;Assumptions!$B$19,0,IF(Q7&lt;=499,VLOOKUP(MAX(Q7,0),'OPEX Scale'!$A$4:$C$10,3,TRUE),(142346*(MAX(1,Q7/500)^Assumptions!$B$97))+(33892*(MAX(1,Q7/500)^Assumptions!$B$99))+(44059*(MAX(1,Q7/500)^Assumptions!$B$98))+(27113*(MAX(1,Q7/500)^Assumptions!$B$100))+(40670*(MAX(1,Q7/500)^Assumptions!$B$101))))</x:f>
        <x:v>30000</x:v>
      </x:c>
      <x:c r="R8" s="455" t="n">
        <x:f>IF(R$4&lt;Assumptions!$B$19,0,IF(R7&lt;=499,VLOOKUP(MAX(R7,0),'OPEX Scale'!$A$4:$C$10,3,TRUE),(142346*(MAX(1,R7/500)^Assumptions!$B$97))+(33892*(MAX(1,R7/500)^Assumptions!$B$99))+(44059*(MAX(1,R7/500)^Assumptions!$B$98))+(27113*(MAX(1,R7/500)^Assumptions!$B$100))+(40670*(MAX(1,R7/500)^Assumptions!$B$101))))</x:f>
        <x:v>60000</x:v>
      </x:c>
      <x:c r="S8" s="455" t="n">
        <x:f>IF(S$4&lt;Assumptions!$B$19,0,IF(S7&lt;=499,VLOOKUP(MAX(S7,0),'OPEX Scale'!$A$4:$C$10,3,TRUE),(142346*(MAX(1,S7/500)^Assumptions!$B$97))+(33892*(MAX(1,S7/500)^Assumptions!$B$99))+(44059*(MAX(1,S7/500)^Assumptions!$B$98))+(27113*(MAX(1,S7/500)^Assumptions!$B$100))+(40670*(MAX(1,S7/500)^Assumptions!$B$101))))</x:f>
        <x:v>60000</x:v>
      </x:c>
      <x:c r="T8" s="455" t="n">
        <x:f>IF(T$4&lt;Assumptions!$B$19,0,IF(T7&lt;=499,VLOOKUP(MAX(T7,0),'OPEX Scale'!$A$4:$C$10,3,TRUE),(142346*(MAX(1,T7/500)^Assumptions!$B$97))+(33892*(MAX(1,T7/500)^Assumptions!$B$99))+(44059*(MAX(1,T7/500)^Assumptions!$B$98))+(27113*(MAX(1,T7/500)^Assumptions!$B$100))+(40670*(MAX(1,T7/500)^Assumptions!$B$101))))</x:f>
        <x:v>110000</x:v>
      </x:c>
      <x:c r="U8" s="455" t="n">
        <x:f>IF(U$4&lt;Assumptions!$B$19,0,IF(U7&lt;=499,VLOOKUP(MAX(U7,0),'OPEX Scale'!$A$4:$C$10,3,TRUE),(142346*(MAX(1,U7/500)^Assumptions!$B$97))+(33892*(MAX(1,U7/500)^Assumptions!$B$99))+(44059*(MAX(1,U7/500)^Assumptions!$B$98))+(27113*(MAX(1,U7/500)^Assumptions!$B$100))+(40670*(MAX(1,U7/500)^Assumptions!$B$101))))</x:f>
        <x:v>110000</x:v>
      </x:c>
      <x:c r="V8" s="455" t="n">
        <x:f>IF(V$4&lt;Assumptions!$B$19,0,IF(V7&lt;=499,VLOOKUP(MAX(V7,0),'OPEX Scale'!$A$4:$C$10,3,TRUE),(142346*(MAX(1,V7/500)^Assumptions!$B$97))+(33892*(MAX(1,V7/500)^Assumptions!$B$99))+(44059*(MAX(1,V7/500)^Assumptions!$B$98))+(27113*(MAX(1,V7/500)^Assumptions!$B$100))+(40670*(MAX(1,V7/500)^Assumptions!$B$101))))</x:f>
        <x:v>235000</x:v>
      </x:c>
    </x:row>
    <x:row r="9">
      <x:c r="A9" s="61"/>
      <x:c r="B9" s="61"/>
      <x:c r="C9" s="61"/>
      <x:c r="D9" s="61"/>
      <x:c r="E9" s="61"/>
      <x:c r="F9" s="61"/>
      <x:c r="G9" s="61"/>
      <x:c r="H9" s="61"/>
      <x:c r="I9" s="61"/>
      <x:c r="J9" s="61"/>
      <x:c r="K9" s="61"/>
      <x:c r="L9" s="61"/>
      <x:c r="M9" s="61"/>
      <x:c r="N9" s="61"/>
      <x:c r="O9" s="61"/>
      <x:c r="P9" s="61"/>
      <x:c r="Q9" s="61"/>
      <x:c r="R9" s="61"/>
      <x:c r="S9" s="61"/>
      <x:c r="T9" s="61"/>
      <x:c r="U9" s="61"/>
      <x:c r="V9" s="61"/>
    </x:row>
    <x:row r="10">
      <x:c r="A10" s="61" t="str">
        <x:v>COO / operations</x:v>
      </x:c>
      <x:c r="B10" s="455" t="n">
        <x:f>IF(B$4&lt;Assumptions!$B$19,0,Assumptions!$B$65)</x:f>
        <x:v>0</x:v>
      </x:c>
      <x:c r="C10" s="455" t="n">
        <x:f>IF(C$4&lt;Assumptions!$B$19,0,Assumptions!$B$65)</x:f>
        <x:v>6000</x:v>
      </x:c>
      <x:c r="D10" s="455" t="n">
        <x:f>IF(D$4&lt;Assumptions!$B$19,0,Assumptions!$B$65)</x:f>
        <x:v>6000</x:v>
      </x:c>
      <x:c r="E10" s="455" t="n">
        <x:f>IF(E$4&lt;Assumptions!$B$19,0,Assumptions!$B$65)</x:f>
        <x:v>6000</x:v>
      </x:c>
      <x:c r="F10" s="455" t="n">
        <x:f>IF(F$4&lt;Assumptions!$B$19,0,Assumptions!$B$65)</x:f>
        <x:v>6000</x:v>
      </x:c>
      <x:c r="G10" s="455" t="n">
        <x:f>IF(G$4&lt;Assumptions!$B$19,0,Assumptions!$B$65)</x:f>
        <x:v>6000</x:v>
      </x:c>
      <x:c r="H10" s="455" t="n">
        <x:f>IF(H$4&lt;Assumptions!$B$19,0,Assumptions!$B$65)</x:f>
        <x:v>6000</x:v>
      </x:c>
      <x:c r="I10" s="455" t="n">
        <x:f>IF(I$4&lt;Assumptions!$B$19,0,Assumptions!$B$65)</x:f>
        <x:v>6000</x:v>
      </x:c>
      <x:c r="J10" s="455" t="n">
        <x:f>IF(J$4&lt;Assumptions!$B$19,0,Assumptions!$B$65)</x:f>
        <x:v>6000</x:v>
      </x:c>
      <x:c r="K10" s="455" t="n">
        <x:f>IF(K$4&lt;Assumptions!$B$19,0,Assumptions!$B$65)</x:f>
        <x:v>6000</x:v>
      </x:c>
      <x:c r="L10" s="455" t="n">
        <x:f>IF(L$4&lt;Assumptions!$B$19,0,Assumptions!$B$65)</x:f>
        <x:v>6000</x:v>
      </x:c>
      <x:c r="M10" s="455" t="n">
        <x:f>IF(M$4&lt;Assumptions!$B$19,0,Assumptions!$B$65)</x:f>
        <x:v>6000</x:v>
      </x:c>
      <x:c r="N10" s="455" t="n">
        <x:f>IF(N$4&lt;Assumptions!$B$19,0,Assumptions!$B$65)</x:f>
        <x:v>6000</x:v>
      </x:c>
      <x:c r="O10" s="455" t="n">
        <x:f>IF(O$4&lt;Assumptions!$B$19,0,Assumptions!$B$65)</x:f>
        <x:v>6000</x:v>
      </x:c>
      <x:c r="P10" s="455" t="n">
        <x:f>IF(P$4&lt;Assumptions!$B$19,0,Assumptions!$B$65)</x:f>
        <x:v>6000</x:v>
      </x:c>
      <x:c r="Q10" s="455" t="n">
        <x:f>IF(Q$4&lt;Assumptions!$B$19,0,Assumptions!$B$65)</x:f>
        <x:v>6000</x:v>
      </x:c>
      <x:c r="R10" s="455" t="n">
        <x:f>IF(R$4&lt;Assumptions!$B$19,0,Assumptions!$B$65)</x:f>
        <x:v>6000</x:v>
      </x:c>
      <x:c r="S10" s="455" t="n">
        <x:f>IF(S$4&lt;Assumptions!$B$19,0,Assumptions!$B$65)</x:f>
        <x:v>6000</x:v>
      </x:c>
      <x:c r="T10" s="455" t="n">
        <x:f>IF(T$4&lt;Assumptions!$B$19,0,Assumptions!$B$65)</x:f>
        <x:v>6000</x:v>
      </x:c>
      <x:c r="U10" s="455" t="n">
        <x:f>IF(U$4&lt;Assumptions!$B$19,0,Assumptions!$B$65)</x:f>
        <x:v>6000</x:v>
      </x:c>
      <x:c r="V10" s="455" t="n">
        <x:f>IF(V$4&lt;Assumptions!$B$19,0,Assumptions!$B$65)</x:f>
        <x:v>6000</x:v>
      </x:c>
    </x:row>
    <x:row r="11">
      <x:c r="A11" s="61" t="str">
        <x:v>NEXUS / software development &amp; maintenance</x:v>
      </x:c>
      <x:c r="B11" s="455" t="n">
        <x:f>IF(B$4&lt;Assumptions!$B$19,0,Assumptions!$B$66)</x:f>
        <x:v>0</x:v>
      </x:c>
      <x:c r="C11" s="455" t="n">
        <x:f>IF(C$4&lt;Assumptions!$B$19,0,Assumptions!$B$66)</x:f>
        <x:v>1000</x:v>
      </x:c>
      <x:c r="D11" s="455" t="n">
        <x:f>IF(D$4&lt;Assumptions!$B$19,0,Assumptions!$B$66)</x:f>
        <x:v>1000</x:v>
      </x:c>
      <x:c r="E11" s="455" t="n">
        <x:f>IF(E$4&lt;Assumptions!$B$19,0,Assumptions!$B$66)</x:f>
        <x:v>1000</x:v>
      </x:c>
      <x:c r="F11" s="455" t="n">
        <x:f>IF(F$4&lt;Assumptions!$B$19,0,Assumptions!$B$66)</x:f>
        <x:v>1000</x:v>
      </x:c>
      <x:c r="G11" s="455" t="n">
        <x:f>IF(G$4&lt;Assumptions!$B$19,0,Assumptions!$B$66)</x:f>
        <x:v>1000</x:v>
      </x:c>
      <x:c r="H11" s="455" t="n">
        <x:f>IF(H$4&lt;Assumptions!$B$19,0,Assumptions!$B$66)</x:f>
        <x:v>1000</x:v>
      </x:c>
      <x:c r="I11" s="455" t="n">
        <x:f>IF(I$4&lt;Assumptions!$B$19,0,Assumptions!$B$66)</x:f>
        <x:v>1000</x:v>
      </x:c>
      <x:c r="J11" s="455" t="n">
        <x:f>IF(J$4&lt;Assumptions!$B$19,0,Assumptions!$B$66)</x:f>
        <x:v>1000</x:v>
      </x:c>
      <x:c r="K11" s="455" t="n">
        <x:f>IF(K$4&lt;Assumptions!$B$19,0,Assumptions!$B$66)</x:f>
        <x:v>1000</x:v>
      </x:c>
      <x:c r="L11" s="455" t="n">
        <x:f>IF(L$4&lt;Assumptions!$B$19,0,Assumptions!$B$66)</x:f>
        <x:v>1000</x:v>
      </x:c>
      <x:c r="M11" s="455" t="n">
        <x:f>IF(M$4&lt;Assumptions!$B$19,0,Assumptions!$B$66)</x:f>
        <x:v>1000</x:v>
      </x:c>
      <x:c r="N11" s="455" t="n">
        <x:f>IF(N$4&lt;Assumptions!$B$19,0,Assumptions!$B$66)</x:f>
        <x:v>1000</x:v>
      </x:c>
      <x:c r="O11" s="455" t="n">
        <x:f>IF(O$4&lt;Assumptions!$B$19,0,Assumptions!$B$66)</x:f>
        <x:v>1000</x:v>
      </x:c>
      <x:c r="P11" s="455" t="n">
        <x:f>IF(P$4&lt;Assumptions!$B$19,0,Assumptions!$B$66)</x:f>
        <x:v>1000</x:v>
      </x:c>
      <x:c r="Q11" s="455" t="n">
        <x:f>IF(Q$4&lt;Assumptions!$B$19,0,Assumptions!$B$66)</x:f>
        <x:v>1000</x:v>
      </x:c>
      <x:c r="R11" s="455" t="n">
        <x:f>IF(R$4&lt;Assumptions!$B$19,0,Assumptions!$B$66)</x:f>
        <x:v>1000</x:v>
      </x:c>
      <x:c r="S11" s="455" t="n">
        <x:f>IF(S$4&lt;Assumptions!$B$19,0,Assumptions!$B$66)</x:f>
        <x:v>1000</x:v>
      </x:c>
      <x:c r="T11" s="455" t="n">
        <x:f>IF(T$4&lt;Assumptions!$B$19,0,Assumptions!$B$66)</x:f>
        <x:v>1000</x:v>
      </x:c>
      <x:c r="U11" s="455" t="n">
        <x:f>IF(U$4&lt;Assumptions!$B$19,0,Assumptions!$B$66)</x:f>
        <x:v>1000</x:v>
      </x:c>
      <x:c r="V11" s="455" t="n">
        <x:f>IF(V$4&lt;Assumptions!$B$19,0,Assumptions!$B$66)</x:f>
        <x:v>1000</x:v>
      </x:c>
    </x:row>
    <x:row r="12">
      <x:c r="A12" s="61" t="str">
        <x:v>Designers / collections / packs</x:v>
      </x:c>
      <x:c r="B12" s="455" t="n">
        <x:f>IF(B$4&lt;Assumptions!$B$19,0,Assumptions!$B$67)</x:f>
        <x:v>0</x:v>
      </x:c>
      <x:c r="C12" s="455" t="n">
        <x:f>IF(C$4&lt;Assumptions!$B$19,0,Assumptions!$B$67)</x:f>
        <x:v>3000</x:v>
      </x:c>
      <x:c r="D12" s="455" t="n">
        <x:f>IF(D$4&lt;Assumptions!$B$19,0,Assumptions!$B$67)</x:f>
        <x:v>3000</x:v>
      </x:c>
      <x:c r="E12" s="455" t="n">
        <x:f>IF(E$4&lt;Assumptions!$B$19,0,Assumptions!$B$67)</x:f>
        <x:v>3000</x:v>
      </x:c>
      <x:c r="F12" s="455" t="n">
        <x:f>IF(F$4&lt;Assumptions!$B$19,0,Assumptions!$B$67)</x:f>
        <x:v>3000</x:v>
      </x:c>
      <x:c r="G12" s="455" t="n">
        <x:f>IF(G$4&lt;Assumptions!$B$19,0,Assumptions!$B$67)</x:f>
        <x:v>3000</x:v>
      </x:c>
      <x:c r="H12" s="455" t="n">
        <x:f>IF(H$4&lt;Assumptions!$B$19,0,Assumptions!$B$67)</x:f>
        <x:v>3000</x:v>
      </x:c>
      <x:c r="I12" s="455" t="n">
        <x:f>IF(I$4&lt;Assumptions!$B$19,0,Assumptions!$B$67)</x:f>
        <x:v>3000</x:v>
      </x:c>
      <x:c r="J12" s="455" t="n">
        <x:f>IF(J$4&lt;Assumptions!$B$19,0,Assumptions!$B$67)</x:f>
        <x:v>3000</x:v>
      </x:c>
      <x:c r="K12" s="455" t="n">
        <x:f>IF(K$4&lt;Assumptions!$B$19,0,Assumptions!$B$67)</x:f>
        <x:v>3000</x:v>
      </x:c>
      <x:c r="L12" s="455" t="n">
        <x:f>IF(L$4&lt;Assumptions!$B$19,0,Assumptions!$B$67)</x:f>
        <x:v>3000</x:v>
      </x:c>
      <x:c r="M12" s="455" t="n">
        <x:f>IF(M$4&lt;Assumptions!$B$19,0,Assumptions!$B$67)</x:f>
        <x:v>3000</x:v>
      </x:c>
      <x:c r="N12" s="455" t="n">
        <x:f>IF(N$4&lt;Assumptions!$B$19,0,Assumptions!$B$67)</x:f>
        <x:v>3000</x:v>
      </x:c>
      <x:c r="O12" s="455" t="n">
        <x:f>IF(O$4&lt;Assumptions!$B$19,0,Assumptions!$B$67)</x:f>
        <x:v>3000</x:v>
      </x:c>
      <x:c r="P12" s="455" t="n">
        <x:f>IF(P$4&lt;Assumptions!$B$19,0,Assumptions!$B$67)</x:f>
        <x:v>3000</x:v>
      </x:c>
      <x:c r="Q12" s="455" t="n">
        <x:f>IF(Q$4&lt;Assumptions!$B$19,0,Assumptions!$B$67)</x:f>
        <x:v>3000</x:v>
      </x:c>
      <x:c r="R12" s="455" t="n">
        <x:f>IF(R$4&lt;Assumptions!$B$19,0,Assumptions!$B$67)</x:f>
        <x:v>3000</x:v>
      </x:c>
      <x:c r="S12" s="455" t="n">
        <x:f>IF(S$4&lt;Assumptions!$B$19,0,Assumptions!$B$67)</x:f>
        <x:v>3000</x:v>
      </x:c>
      <x:c r="T12" s="455" t="n">
        <x:f>IF(T$4&lt;Assumptions!$B$19,0,Assumptions!$B$67)</x:f>
        <x:v>3000</x:v>
      </x:c>
      <x:c r="U12" s="455" t="n">
        <x:f>IF(U$4&lt;Assumptions!$B$19,0,Assumptions!$B$67)</x:f>
        <x:v>3000</x:v>
      </x:c>
      <x:c r="V12" s="455" t="n">
        <x:f>IF(V$4&lt;Assumptions!$B$19,0,Assumptions!$B$67)</x:f>
        <x:v>3000</x:v>
      </x:c>
    </x:row>
    <x:row r="13">
      <x:c r="A13" s="61" t="str">
        <x:v>Commercial / licences / partners</x:v>
      </x:c>
      <x:c r="B13" s="455" t="n">
        <x:f>IF(B$4&lt;Assumptions!$B$19,0,Assumptions!$B$68)</x:f>
        <x:v>0</x:v>
      </x:c>
      <x:c r="C13" s="455" t="n">
        <x:f>IF(C$4&lt;Assumptions!$B$19,0,Assumptions!$B$68)</x:f>
        <x:v>1000</x:v>
      </x:c>
      <x:c r="D13" s="455" t="n">
        <x:f>IF(D$4&lt;Assumptions!$B$19,0,Assumptions!$B$68)</x:f>
        <x:v>1000</x:v>
      </x:c>
      <x:c r="E13" s="455" t="n">
        <x:f>IF(E$4&lt;Assumptions!$B$19,0,Assumptions!$B$68)</x:f>
        <x:v>1000</x:v>
      </x:c>
      <x:c r="F13" s="455" t="n">
        <x:f>IF(F$4&lt;Assumptions!$B$19,0,Assumptions!$B$68)</x:f>
        <x:v>1000</x:v>
      </x:c>
      <x:c r="G13" s="455" t="n">
        <x:f>IF(G$4&lt;Assumptions!$B$19,0,Assumptions!$B$68)</x:f>
        <x:v>1000</x:v>
      </x:c>
      <x:c r="H13" s="455" t="n">
        <x:f>IF(H$4&lt;Assumptions!$B$19,0,Assumptions!$B$68)</x:f>
        <x:v>1000</x:v>
      </x:c>
      <x:c r="I13" s="455" t="n">
        <x:f>IF(I$4&lt;Assumptions!$B$19,0,Assumptions!$B$68)</x:f>
        <x:v>1000</x:v>
      </x:c>
      <x:c r="J13" s="455" t="n">
        <x:f>IF(J$4&lt;Assumptions!$B$19,0,Assumptions!$B$68)</x:f>
        <x:v>1000</x:v>
      </x:c>
      <x:c r="K13" s="455" t="n">
        <x:f>IF(K$4&lt;Assumptions!$B$19,0,Assumptions!$B$68)</x:f>
        <x:v>1000</x:v>
      </x:c>
      <x:c r="L13" s="455" t="n">
        <x:f>IF(L$4&lt;Assumptions!$B$19,0,Assumptions!$B$68)</x:f>
        <x:v>1000</x:v>
      </x:c>
      <x:c r="M13" s="455" t="n">
        <x:f>IF(M$4&lt;Assumptions!$B$19,0,Assumptions!$B$68)</x:f>
        <x:v>1000</x:v>
      </x:c>
      <x:c r="N13" s="455" t="n">
        <x:f>IF(N$4&lt;Assumptions!$B$19,0,Assumptions!$B$68)</x:f>
        <x:v>1000</x:v>
      </x:c>
      <x:c r="O13" s="455" t="n">
        <x:f>IF(O$4&lt;Assumptions!$B$19,0,Assumptions!$B$68)</x:f>
        <x:v>1000</x:v>
      </x:c>
      <x:c r="P13" s="455" t="n">
        <x:f>IF(P$4&lt;Assumptions!$B$19,0,Assumptions!$B$68)</x:f>
        <x:v>1000</x:v>
      </x:c>
      <x:c r="Q13" s="455" t="n">
        <x:f>IF(Q$4&lt;Assumptions!$B$19,0,Assumptions!$B$68)</x:f>
        <x:v>1000</x:v>
      </x:c>
      <x:c r="R13" s="455" t="n">
        <x:f>IF(R$4&lt;Assumptions!$B$19,0,Assumptions!$B$68)</x:f>
        <x:v>1000</x:v>
      </x:c>
      <x:c r="S13" s="455" t="n">
        <x:f>IF(S$4&lt;Assumptions!$B$19,0,Assumptions!$B$68)</x:f>
        <x:v>1000</x:v>
      </x:c>
      <x:c r="T13" s="455" t="n">
        <x:f>IF(T$4&lt;Assumptions!$B$19,0,Assumptions!$B$68)</x:f>
        <x:v>1000</x:v>
      </x:c>
      <x:c r="U13" s="455" t="n">
        <x:f>IF(U$4&lt;Assumptions!$B$19,0,Assumptions!$B$68)</x:f>
        <x:v>1000</x:v>
      </x:c>
      <x:c r="V13" s="455" t="n">
        <x:f>IF(V$4&lt;Assumptions!$B$19,0,Assumptions!$B$68)</x:f>
        <x:v>1000</x:v>
      </x:c>
    </x:row>
    <x:row r="14">
      <x:c r="A14" s="61" t="str">
        <x:v>Rent / administration</x:v>
      </x:c>
      <x:c r="B14" s="455" t="n">
        <x:f>IF(B$4&lt;Assumptions!$B$19,0,Assumptions!$B$69)</x:f>
        <x:v>0</x:v>
      </x:c>
      <x:c r="C14" s="455" t="n">
        <x:f>IF(C$4&lt;Assumptions!$B$19,0,Assumptions!$B$69)</x:f>
        <x:v>2700</x:v>
      </x:c>
      <x:c r="D14" s="455" t="n">
        <x:f>IF(D$4&lt;Assumptions!$B$19,0,Assumptions!$B$69)</x:f>
        <x:v>2700</x:v>
      </x:c>
      <x:c r="E14" s="455" t="n">
        <x:f>IF(E$4&lt;Assumptions!$B$19,0,Assumptions!$B$69)</x:f>
        <x:v>2700</x:v>
      </x:c>
      <x:c r="F14" s="455" t="n">
        <x:f>IF(F$4&lt;Assumptions!$B$19,0,Assumptions!$B$69)</x:f>
        <x:v>2700</x:v>
      </x:c>
      <x:c r="G14" s="455" t="n">
        <x:f>IF(G$4&lt;Assumptions!$B$19,0,Assumptions!$B$69)</x:f>
        <x:v>2700</x:v>
      </x:c>
      <x:c r="H14" s="455" t="n">
        <x:f>IF(H$4&lt;Assumptions!$B$19,0,Assumptions!$B$69)</x:f>
        <x:v>2700</x:v>
      </x:c>
      <x:c r="I14" s="455" t="n">
        <x:f>IF(I$4&lt;Assumptions!$B$19,0,Assumptions!$B$69)</x:f>
        <x:v>2700</x:v>
      </x:c>
      <x:c r="J14" s="455" t="n">
        <x:f>IF(J$4&lt;Assumptions!$B$19,0,Assumptions!$B$69)</x:f>
        <x:v>2700</x:v>
      </x:c>
      <x:c r="K14" s="455" t="n">
        <x:f>IF(K$4&lt;Assumptions!$B$19,0,Assumptions!$B$69)</x:f>
        <x:v>2700</x:v>
      </x:c>
      <x:c r="L14" s="455" t="n">
        <x:f>IF(L$4&lt;Assumptions!$B$19,0,Assumptions!$B$69)</x:f>
        <x:v>2700</x:v>
      </x:c>
      <x:c r="M14" s="455" t="n">
        <x:f>IF(M$4&lt;Assumptions!$B$19,0,Assumptions!$B$69)</x:f>
        <x:v>2700</x:v>
      </x:c>
      <x:c r="N14" s="455" t="n">
        <x:f>IF(N$4&lt;Assumptions!$B$19,0,Assumptions!$B$69)</x:f>
        <x:v>2700</x:v>
      </x:c>
      <x:c r="O14" s="455" t="n">
        <x:f>IF(O$4&lt;Assumptions!$B$19,0,Assumptions!$B$69)</x:f>
        <x:v>2700</x:v>
      </x:c>
      <x:c r="P14" s="455" t="n">
        <x:f>IF(P$4&lt;Assumptions!$B$19,0,Assumptions!$B$69)</x:f>
        <x:v>2700</x:v>
      </x:c>
      <x:c r="Q14" s="455" t="n">
        <x:f>IF(Q$4&lt;Assumptions!$B$19,0,Assumptions!$B$69)</x:f>
        <x:v>2700</x:v>
      </x:c>
      <x:c r="R14" s="455" t="n">
        <x:f>IF(R$4&lt;Assumptions!$B$19,0,Assumptions!$B$69)</x:f>
        <x:v>2700</x:v>
      </x:c>
      <x:c r="S14" s="455" t="n">
        <x:f>IF(S$4&lt;Assumptions!$B$19,0,Assumptions!$B$69)</x:f>
        <x:v>2700</x:v>
      </x:c>
      <x:c r="T14" s="455" t="n">
        <x:f>IF(T$4&lt;Assumptions!$B$19,0,Assumptions!$B$69)</x:f>
        <x:v>2700</x:v>
      </x:c>
      <x:c r="U14" s="455" t="n">
        <x:f>IF(U$4&lt;Assumptions!$B$19,0,Assumptions!$B$69)</x:f>
        <x:v>2700</x:v>
      </x:c>
      <x:c r="V14" s="455" t="n">
        <x:f>IF(V$4&lt;Assumptions!$B$19,0,Assumptions!$B$69)</x:f>
        <x:v>2700</x:v>
      </x:c>
    </x:row>
    <x:row r="15">
      <x:c r="A15" s="61" t="str">
        <x:v>Legal / intellectual property</x:v>
      </x:c>
      <x:c r="B15" s="455" t="n">
        <x:f>IF(B$4&lt;Assumptions!$B$19,0,Assumptions!$B$70)</x:f>
        <x:v>0</x:v>
      </x:c>
      <x:c r="C15" s="455" t="n">
        <x:f>IF(C$4&lt;Assumptions!$B$19,0,Assumptions!$B$70)</x:f>
        <x:v>2000</x:v>
      </x:c>
      <x:c r="D15" s="455" t="n">
        <x:f>IF(D$4&lt;Assumptions!$B$19,0,Assumptions!$B$70)</x:f>
        <x:v>2000</x:v>
      </x:c>
      <x:c r="E15" s="455" t="n">
        <x:f>IF(E$4&lt;Assumptions!$B$19,0,Assumptions!$B$70)</x:f>
        <x:v>2000</x:v>
      </x:c>
      <x:c r="F15" s="455" t="n">
        <x:f>IF(F$4&lt;Assumptions!$B$19,0,Assumptions!$B$70)</x:f>
        <x:v>2000</x:v>
      </x:c>
      <x:c r="G15" s="455" t="n">
        <x:f>IF(G$4&lt;Assumptions!$B$19,0,Assumptions!$B$70)</x:f>
        <x:v>2000</x:v>
      </x:c>
      <x:c r="H15" s="455" t="n">
        <x:f>IF(H$4&lt;Assumptions!$B$19,0,Assumptions!$B$70)</x:f>
        <x:v>2000</x:v>
      </x:c>
      <x:c r="I15" s="455" t="n">
        <x:f>IF(I$4&lt;Assumptions!$B$19,0,Assumptions!$B$70)</x:f>
        <x:v>2000</x:v>
      </x:c>
      <x:c r="J15" s="455" t="n">
        <x:f>IF(J$4&lt;Assumptions!$B$19,0,Assumptions!$B$70)</x:f>
        <x:v>2000</x:v>
      </x:c>
      <x:c r="K15" s="455" t="n">
        <x:f>IF(K$4&lt;Assumptions!$B$19,0,Assumptions!$B$70)</x:f>
        <x:v>2000</x:v>
      </x:c>
      <x:c r="L15" s="455" t="n">
        <x:f>IF(L$4&lt;Assumptions!$B$19,0,Assumptions!$B$70)</x:f>
        <x:v>2000</x:v>
      </x:c>
      <x:c r="M15" s="455" t="n">
        <x:f>IF(M$4&lt;Assumptions!$B$19,0,Assumptions!$B$70)</x:f>
        <x:v>2000</x:v>
      </x:c>
      <x:c r="N15" s="455" t="n">
        <x:f>IF(N$4&lt;Assumptions!$B$19,0,Assumptions!$B$70)</x:f>
        <x:v>2000</x:v>
      </x:c>
      <x:c r="O15" s="455" t="n">
        <x:f>IF(O$4&lt;Assumptions!$B$19,0,Assumptions!$B$70)</x:f>
        <x:v>2000</x:v>
      </x:c>
      <x:c r="P15" s="455" t="n">
        <x:f>IF(P$4&lt;Assumptions!$B$19,0,Assumptions!$B$70)</x:f>
        <x:v>2000</x:v>
      </x:c>
      <x:c r="Q15" s="455" t="n">
        <x:f>IF(Q$4&lt;Assumptions!$B$19,0,Assumptions!$B$70)</x:f>
        <x:v>2000</x:v>
      </x:c>
      <x:c r="R15" s="455" t="n">
        <x:f>IF(R$4&lt;Assumptions!$B$19,0,Assumptions!$B$70)</x:f>
        <x:v>2000</x:v>
      </x:c>
      <x:c r="S15" s="455" t="n">
        <x:f>IF(S$4&lt;Assumptions!$B$19,0,Assumptions!$B$70)</x:f>
        <x:v>2000</x:v>
      </x:c>
      <x:c r="T15" s="455" t="n">
        <x:f>IF(T$4&lt;Assumptions!$B$19,0,Assumptions!$B$70)</x:f>
        <x:v>2000</x:v>
      </x:c>
      <x:c r="U15" s="455" t="n">
        <x:f>IF(U$4&lt;Assumptions!$B$19,0,Assumptions!$B$70)</x:f>
        <x:v>2000</x:v>
      </x:c>
      <x:c r="V15" s="455" t="n">
        <x:f>IF(V$4&lt;Assumptions!$B$19,0,Assumptions!$B$70)</x:f>
        <x:v>2000</x:v>
      </x:c>
    </x:row>
    <x:row r="16">
      <x:c r="A16" s="61" t="str">
        <x:v>Lean base subtotal</x:v>
      </x:c>
      <x:c r="B16" s="455" t="n">
        <x:f>SUM(B10:B15)</x:f>
        <x:v>0</x:v>
      </x:c>
      <x:c r="C16" s="455" t="n">
        <x:f>SUM(C10:C15)</x:f>
        <x:v>15700</x:v>
      </x:c>
      <x:c r="D16" s="455" t="n">
        <x:f>SUM(D10:D15)</x:f>
        <x:v>15700</x:v>
      </x:c>
      <x:c r="E16" s="455" t="n">
        <x:f>SUM(E10:E15)</x:f>
        <x:v>15700</x:v>
      </x:c>
      <x:c r="F16" s="455" t="n">
        <x:f>SUM(F10:F15)</x:f>
        <x:v>15700</x:v>
      </x:c>
      <x:c r="G16" s="455" t="n">
        <x:f>SUM(G10:G15)</x:f>
        <x:v>15700</x:v>
      </x:c>
      <x:c r="H16" s="455" t="n">
        <x:f>SUM(H10:H15)</x:f>
        <x:v>15700</x:v>
      </x:c>
      <x:c r="I16" s="455" t="n">
        <x:f>SUM(I10:I15)</x:f>
        <x:v>15700</x:v>
      </x:c>
      <x:c r="J16" s="455" t="n">
        <x:f>SUM(J10:J15)</x:f>
        <x:v>15700</x:v>
      </x:c>
      <x:c r="K16" s="455" t="n">
        <x:f>SUM(K10:K15)</x:f>
        <x:v>15700</x:v>
      </x:c>
      <x:c r="L16" s="455" t="n">
        <x:f>SUM(L10:L15)</x:f>
        <x:v>15700</x:v>
      </x:c>
      <x:c r="M16" s="455" t="n">
        <x:f>SUM(M10:M15)</x:f>
        <x:v>15700</x:v>
      </x:c>
      <x:c r="N16" s="455" t="n">
        <x:f>SUM(N10:N15)</x:f>
        <x:v>15700</x:v>
      </x:c>
      <x:c r="O16" s="455" t="n">
        <x:f>SUM(O10:O15)</x:f>
        <x:v>15700</x:v>
      </x:c>
      <x:c r="P16" s="455" t="n">
        <x:f>SUM(P10:P15)</x:f>
        <x:v>15700</x:v>
      </x:c>
      <x:c r="Q16" s="455" t="n">
        <x:f>SUM(Q10:Q15)</x:f>
        <x:v>15700</x:v>
      </x:c>
      <x:c r="R16" s="455" t="n">
        <x:f>SUM(R10:R15)</x:f>
        <x:v>15700</x:v>
      </x:c>
      <x:c r="S16" s="455" t="n">
        <x:f>SUM(S10:S15)</x:f>
        <x:v>15700</x:v>
      </x:c>
      <x:c r="T16" s="455" t="n">
        <x:f>SUM(T10:T15)</x:f>
        <x:v>15700</x:v>
      </x:c>
      <x:c r="U16" s="455" t="n">
        <x:f>SUM(U10:U15)</x:f>
        <x:v>15700</x:v>
      </x:c>
      <x:c r="V16" s="455" t="n">
        <x:f>SUM(V10:V15)</x:f>
        <x:v>15700</x:v>
      </x:c>
    </x:row>
    <x:row r="17">
      <x:c r="A17" s="61"/>
      <x:c r="B17" s="455"/>
      <x:c r="C17" s="455"/>
      <x:c r="D17" s="455"/>
      <x:c r="E17" s="455"/>
      <x:c r="F17" s="455"/>
      <x:c r="G17" s="455"/>
      <x:c r="H17" s="455"/>
      <x:c r="I17" s="455"/>
      <x:c r="J17" s="455"/>
      <x:c r="K17" s="455"/>
      <x:c r="L17" s="455"/>
      <x:c r="M17" s="455"/>
      <x:c r="N17" s="455"/>
      <x:c r="O17" s="455"/>
      <x:c r="P17" s="455"/>
      <x:c r="Q17" s="455"/>
      <x:c r="R17" s="455"/>
      <x:c r="S17" s="455"/>
      <x:c r="T17" s="455"/>
      <x:c r="U17" s="455"/>
      <x:c r="V17" s="455"/>
    </x:row>
    <x:row r="18">
      <x:c r="A18" s="61" t="str">
        <x:v>Scale-up top-up above lean base</x:v>
      </x:c>
      <x:c r="B18" s="455" t="n">
        <x:f>MAX(0,B8-B16)</x:f>
        <x:v>0</x:v>
      </x:c>
      <x:c r="C18" s="455" t="n">
        <x:f>MAX(0,C8-C16)</x:f>
        <x:v>0</x:v>
      </x:c>
      <x:c r="D18" s="455" t="n">
        <x:f>MAX(0,D8-D16)</x:f>
        <x:v>0</x:v>
      </x:c>
      <x:c r="E18" s="455" t="n">
        <x:f>MAX(0,E8-E16)</x:f>
        <x:v>0</x:v>
      </x:c>
      <x:c r="F18" s="455" t="n">
        <x:f>MAX(0,F8-F16)</x:f>
        <x:v>0</x:v>
      </x:c>
      <x:c r="G18" s="455" t="n">
        <x:f>MAX(0,G8-G16)</x:f>
        <x:v>0</x:v>
      </x:c>
      <x:c r="H18" s="455" t="n">
        <x:f>MAX(0,H8-H16)</x:f>
        <x:v>0</x:v>
      </x:c>
      <x:c r="I18" s="455" t="n">
        <x:f>MAX(0,I8-I16)</x:f>
        <x:v>0</x:v>
      </x:c>
      <x:c r="J18" s="455" t="n">
        <x:f>MAX(0,J8-J16)</x:f>
        <x:v>0</x:v>
      </x:c>
      <x:c r="K18" s="455" t="n">
        <x:f>MAX(0,K8-K16)</x:f>
        <x:v>0</x:v>
      </x:c>
      <x:c r="L18" s="455" t="n">
        <x:f>MAX(0,L8-L16)</x:f>
        <x:v>0</x:v>
      </x:c>
      <x:c r="M18" s="455" t="n">
        <x:f>MAX(0,M8-M16)</x:f>
        <x:v>0</x:v>
      </x:c>
      <x:c r="N18" s="455" t="n">
        <x:f>MAX(0,N8-N16)</x:f>
        <x:v>0</x:v>
      </x:c>
      <x:c r="O18" s="455" t="n">
        <x:f>MAX(0,O8-O16)</x:f>
        <x:v>0</x:v>
      </x:c>
      <x:c r="P18" s="455" t="n">
        <x:f>MAX(0,P8-P16)</x:f>
        <x:v>14300</x:v>
      </x:c>
      <x:c r="Q18" s="455" t="n">
        <x:f>MAX(0,Q8-Q16)</x:f>
        <x:v>14300</x:v>
      </x:c>
      <x:c r="R18" s="455" t="n">
        <x:f>MAX(0,R8-R16)</x:f>
        <x:v>44300</x:v>
      </x:c>
      <x:c r="S18" s="455" t="n">
        <x:f>MAX(0,S8-S16)</x:f>
        <x:v>44300</x:v>
      </x:c>
      <x:c r="T18" s="455" t="n">
        <x:f>MAX(0,T8-T16)</x:f>
        <x:v>94300</x:v>
      </x:c>
      <x:c r="U18" s="455" t="n">
        <x:f>MAX(0,U8-U16)</x:f>
        <x:v>94300</x:v>
      </x:c>
      <x:c r="V18" s="455" t="n">
        <x:f>MAX(0,V8-V16)</x:f>
        <x:v>219300</x:v>
      </x:c>
    </x:row>
    <x:row r="19">
      <x:c r="A19" s="61" t="str">
        <x:v>Additional headcount &amp; field operations</x:v>
      </x:c>
      <x:c r="B19" s="455" t="n">
        <x:f>IF(B$4&lt;Assumptions!$B$19,0,IF(B7&lt;=500,B18*142346/288080,MAX(0,142346*((B7/500)^Assumptions!$B$97)-(B10+B12))))</x:f>
        <x:v>0</x:v>
      </x:c>
      <x:c r="C19" s="455" t="n">
        <x:f>IF(C$4&lt;Assumptions!$B$19,0,IF(C7&lt;=500,C18*142346/288080,MAX(0,142346*((C7/500)^Assumptions!$B$97)-(C10+C12))))</x:f>
        <x:v>0</x:v>
      </x:c>
      <x:c r="D19" s="455" t="n">
        <x:f>IF(D$4&lt;Assumptions!$B$19,0,IF(D7&lt;=500,D18*142346/288080,MAX(0,142346*((D7/500)^Assumptions!$B$97)-(D10+D12))))</x:f>
        <x:v>0</x:v>
      </x:c>
      <x:c r="E19" s="455" t="n">
        <x:f>IF(E$4&lt;Assumptions!$B$19,0,IF(E7&lt;=500,E18*142346/288080,MAX(0,142346*((E7/500)^Assumptions!$B$97)-(E10+E12))))</x:f>
        <x:v>0</x:v>
      </x:c>
      <x:c r="F19" s="455" t="n">
        <x:f>IF(F$4&lt;Assumptions!$B$19,0,IF(F7&lt;=500,F18*142346/288080,MAX(0,142346*((F7/500)^Assumptions!$B$97)-(F10+F12))))</x:f>
        <x:v>0</x:v>
      </x:c>
      <x:c r="G19" s="455" t="n">
        <x:f>IF(G$4&lt;Assumptions!$B$19,0,IF(G7&lt;=500,G18*142346/288080,MAX(0,142346*((G7/500)^Assumptions!$B$97)-(G10+G12))))</x:f>
        <x:v>0</x:v>
      </x:c>
      <x:c r="H19" s="455" t="n">
        <x:f>IF(H$4&lt;Assumptions!$B$19,0,IF(H7&lt;=500,H18*142346/288080,MAX(0,142346*((H7/500)^Assumptions!$B$97)-(H10+H12))))</x:f>
        <x:v>0</x:v>
      </x:c>
      <x:c r="I19" s="455" t="n">
        <x:f>IF(I$4&lt;Assumptions!$B$19,0,IF(I7&lt;=500,I18*142346/288080,MAX(0,142346*((I7/500)^Assumptions!$B$97)-(I10+I12))))</x:f>
        <x:v>0</x:v>
      </x:c>
      <x:c r="J19" s="455" t="n">
        <x:f>IF(J$4&lt;Assumptions!$B$19,0,IF(J7&lt;=500,J18*142346/288080,MAX(0,142346*((J7/500)^Assumptions!$B$97)-(J10+J12))))</x:f>
        <x:v>0</x:v>
      </x:c>
      <x:c r="K19" s="455" t="n">
        <x:f>IF(K$4&lt;Assumptions!$B$19,0,IF(K7&lt;=500,K18*142346/288080,MAX(0,142346*((K7/500)^Assumptions!$B$97)-(K10+K12))))</x:f>
        <x:v>0</x:v>
      </x:c>
      <x:c r="L19" s="455" t="n">
        <x:f>IF(L$4&lt;Assumptions!$B$19,0,IF(L7&lt;=500,L18*142346/288080,MAX(0,142346*((L7/500)^Assumptions!$B$97)-(L10+L12))))</x:f>
        <x:v>0</x:v>
      </x:c>
      <x:c r="M19" s="455" t="n">
        <x:f>IF(M$4&lt;Assumptions!$B$19,0,IF(M7&lt;=500,M18*142346/288080,MAX(0,142346*((M7/500)^Assumptions!$B$97)-(M10+M12))))</x:f>
        <x:v>0</x:v>
      </x:c>
      <x:c r="N19" s="455" t="n">
        <x:f>IF(N$4&lt;Assumptions!$B$19,0,IF(N7&lt;=500,N18*142346/288080,MAX(0,142346*((N7/500)^Assumptions!$B$97)-(N10+N12))))</x:f>
        <x:v>0</x:v>
      </x:c>
      <x:c r="O19" s="455" t="n">
        <x:f>IF(O$4&lt;Assumptions!$B$19,0,IF(O7&lt;=500,O18*142346/288080,MAX(0,142346*((O7/500)^Assumptions!$B$97)-(O10+O12))))</x:f>
        <x:v>0</x:v>
      </x:c>
      <x:c r="P19" s="455" t="n">
        <x:f>IF(P$4&lt;Assumptions!$B$19,0,IF(P7&lt;=500,P18*142346/288080,MAX(0,142346*((P7/500)^Assumptions!$B$97)-(P10+P12))))</x:f>
        <x:v>7065.911552346571</x:v>
      </x:c>
      <x:c r="Q19" s="455" t="n">
        <x:f>IF(Q$4&lt;Assumptions!$B$19,0,IF(Q7&lt;=500,Q18*142346/288080,MAX(0,142346*((Q7/500)^Assumptions!$B$97)-(Q10+Q12))))</x:f>
        <x:v>7065.911552346571</x:v>
      </x:c>
      <x:c r="R19" s="455" t="n">
        <x:f>IF(R$4&lt;Assumptions!$B$19,0,IF(R7&lt;=500,R18*142346/288080,MAX(0,142346*((R7/500)^Assumptions!$B$97)-(R10+R12))))</x:f>
        <x:v>21889.50222160511</x:v>
      </x:c>
      <x:c r="S19" s="455" t="n">
        <x:f>IF(S$4&lt;Assumptions!$B$19,0,IF(S7&lt;=500,S18*142346/288080,MAX(0,142346*((S7/500)^Assumptions!$B$97)-(S10+S12))))</x:f>
        <x:v>21889.50222160511</x:v>
      </x:c>
      <x:c r="T19" s="455" t="n">
        <x:f>IF(T$4&lt;Assumptions!$B$19,0,IF(T7&lt;=500,T18*142346/288080,MAX(0,142346*((T7/500)^Assumptions!$B$97)-(T10+T12))))</x:f>
        <x:v>46595.48667036934</x:v>
      </x:c>
      <x:c r="U19" s="455" t="n">
        <x:f>IF(U$4&lt;Assumptions!$B$19,0,IF(U7&lt;=500,U18*142346/288080,MAX(0,142346*((U7/500)^Assumptions!$B$97)-(U10+U12))))</x:f>
        <x:v>46595.48667036934</x:v>
      </x:c>
      <x:c r="V19" s="455" t="n">
        <x:f>IF(V$4&lt;Assumptions!$B$19,0,IF(V7&lt;=500,V18*142346/288080,MAX(0,142346*((V7/500)^Assumptions!$B$97)-(V10+V12))))</x:f>
        <x:v>108360.44779227993</x:v>
      </x:c>
    </x:row>
    <x:row r="20">
      <x:c r="A20" s="61" t="str">
        <x:v>Insurance / permits / finance &amp; admin</x:v>
      </x:c>
      <x:c r="B20" s="455" t="n">
        <x:f>IF(B$4&lt;Assumptions!$B$19,0,IF(B7&lt;=500,B18*33892/288080,MAX(0,33892*((B7/500)^Assumptions!$B$99)-(B14))))</x:f>
        <x:v>0</x:v>
      </x:c>
      <x:c r="C20" s="455" t="n">
        <x:f>IF(C$4&lt;Assumptions!$B$19,0,IF(C7&lt;=500,C18*33892/288080,MAX(0,33892*((C7/500)^Assumptions!$B$99)-(C14))))</x:f>
        <x:v>0</x:v>
      </x:c>
      <x:c r="D20" s="455" t="n">
        <x:f>IF(D$4&lt;Assumptions!$B$19,0,IF(D7&lt;=500,D18*33892/288080,MAX(0,33892*((D7/500)^Assumptions!$B$99)-(D14))))</x:f>
        <x:v>0</x:v>
      </x:c>
      <x:c r="E20" s="455" t="n">
        <x:f>IF(E$4&lt;Assumptions!$B$19,0,IF(E7&lt;=500,E18*33892/288080,MAX(0,33892*((E7/500)^Assumptions!$B$99)-(E14))))</x:f>
        <x:v>0</x:v>
      </x:c>
      <x:c r="F20" s="455" t="n">
        <x:f>IF(F$4&lt;Assumptions!$B$19,0,IF(F7&lt;=500,F18*33892/288080,MAX(0,33892*((F7/500)^Assumptions!$B$99)-(F14))))</x:f>
        <x:v>0</x:v>
      </x:c>
      <x:c r="G20" s="455" t="n">
        <x:f>IF(G$4&lt;Assumptions!$B$19,0,IF(G7&lt;=500,G18*33892/288080,MAX(0,33892*((G7/500)^Assumptions!$B$99)-(G14))))</x:f>
        <x:v>0</x:v>
      </x:c>
      <x:c r="H20" s="455" t="n">
        <x:f>IF(H$4&lt;Assumptions!$B$19,0,IF(H7&lt;=500,H18*33892/288080,MAX(0,33892*((H7/500)^Assumptions!$B$99)-(H14))))</x:f>
        <x:v>0</x:v>
      </x:c>
      <x:c r="I20" s="455" t="n">
        <x:f>IF(I$4&lt;Assumptions!$B$19,0,IF(I7&lt;=500,I18*33892/288080,MAX(0,33892*((I7/500)^Assumptions!$B$99)-(I14))))</x:f>
        <x:v>0</x:v>
      </x:c>
      <x:c r="J20" s="455" t="n">
        <x:f>IF(J$4&lt;Assumptions!$B$19,0,IF(J7&lt;=500,J18*33892/288080,MAX(0,33892*((J7/500)^Assumptions!$B$99)-(J14))))</x:f>
        <x:v>0</x:v>
      </x:c>
      <x:c r="K20" s="455" t="n">
        <x:f>IF(K$4&lt;Assumptions!$B$19,0,IF(K7&lt;=500,K18*33892/288080,MAX(0,33892*((K7/500)^Assumptions!$B$99)-(K14))))</x:f>
        <x:v>0</x:v>
      </x:c>
      <x:c r="L20" s="455" t="n">
        <x:f>IF(L$4&lt;Assumptions!$B$19,0,IF(L7&lt;=500,L18*33892/288080,MAX(0,33892*((L7/500)^Assumptions!$B$99)-(L14))))</x:f>
        <x:v>0</x:v>
      </x:c>
      <x:c r="M20" s="455" t="n">
        <x:f>IF(M$4&lt;Assumptions!$B$19,0,IF(M7&lt;=500,M18*33892/288080,MAX(0,33892*((M7/500)^Assumptions!$B$99)-(M14))))</x:f>
        <x:v>0</x:v>
      </x:c>
      <x:c r="N20" s="455" t="n">
        <x:f>IF(N$4&lt;Assumptions!$B$19,0,IF(N7&lt;=500,N18*33892/288080,MAX(0,33892*((N7/500)^Assumptions!$B$99)-(N14))))</x:f>
        <x:v>0</x:v>
      </x:c>
      <x:c r="O20" s="455" t="n">
        <x:f>IF(O$4&lt;Assumptions!$B$19,0,IF(O7&lt;=500,O18*33892/288080,MAX(0,33892*((O7/500)^Assumptions!$B$99)-(O14))))</x:f>
        <x:v>0</x:v>
      </x:c>
      <x:c r="P20" s="455" t="n">
        <x:f>IF(P$4&lt;Assumptions!$B$19,0,IF(P7&lt;=500,P18*33892/288080,MAX(0,33892*((P7/500)^Assumptions!$B$99)-(P14))))</x:f>
        <x:v>1682.3646209386281</x:v>
      </x:c>
      <x:c r="Q20" s="455" t="n">
        <x:f>IF(Q$4&lt;Assumptions!$B$19,0,IF(Q7&lt;=500,Q18*33892/288080,MAX(0,33892*((Q7/500)^Assumptions!$B$99)-(Q14))))</x:f>
        <x:v>1682.3646209386281</x:v>
      </x:c>
      <x:c r="R20" s="455" t="n">
        <x:f>IF(R$4&lt;Assumptions!$B$19,0,IF(R7&lt;=500,R18*33892/288080,MAX(0,33892*((R7/500)^Assumptions!$B$99)-(R14))))</x:f>
        <x:v>5211.800888642044</x:v>
      </x:c>
      <x:c r="S20" s="455" t="n">
        <x:f>IF(S$4&lt;Assumptions!$B$19,0,IF(S7&lt;=500,S18*33892/288080,MAX(0,33892*((S7/500)^Assumptions!$B$99)-(S14))))</x:f>
        <x:v>5211.800888642044</x:v>
      </x:c>
      <x:c r="T20" s="455" t="n">
        <x:f>IF(T$4&lt;Assumptions!$B$19,0,IF(T7&lt;=500,T18*33892/288080,MAX(0,33892*((T7/500)^Assumptions!$B$99)-(T14))))</x:f>
        <x:v>11094.194668147737</x:v>
      </x:c>
      <x:c r="U20" s="455" t="n">
        <x:f>IF(U$4&lt;Assumptions!$B$19,0,IF(U7&lt;=500,U18*33892/288080,MAX(0,33892*((U7/500)^Assumptions!$B$99)-(U14))))</x:f>
        <x:v>11094.194668147737</x:v>
      </x:c>
      <x:c r="V20" s="455" t="n">
        <x:f>IF(V$4&lt;Assumptions!$B$19,0,IF(V7&lt;=500,V18*33892/288080,MAX(0,33892*((V7/500)^Assumptions!$B$99)-(V14))))</x:f>
        <x:v>25800.179116911968</x:v>
      </x:c>
    </x:row>
    <x:row r="21">
      <x:c r="A21" s="61" t="str">
        <x:v>Additional NEXUS / technology / cloud &amp; data</x:v>
      </x:c>
      <x:c r="B21" s="455" t="n">
        <x:f>IF(B$4&lt;Assumptions!$B$19,0,IF(B7&lt;=500,B18*44059/288080,MAX(0,44059*((B7/500)^Assumptions!$B$98)-(B11))))</x:f>
        <x:v>0</x:v>
      </x:c>
      <x:c r="C21" s="455" t="n">
        <x:f>IF(C$4&lt;Assumptions!$B$19,0,IF(C7&lt;=500,C18*44059/288080,MAX(0,44059*((C7/500)^Assumptions!$B$98)-(C11))))</x:f>
        <x:v>0</x:v>
      </x:c>
      <x:c r="D21" s="455" t="n">
        <x:f>IF(D$4&lt;Assumptions!$B$19,0,IF(D7&lt;=500,D18*44059/288080,MAX(0,44059*((D7/500)^Assumptions!$B$98)-(D11))))</x:f>
        <x:v>0</x:v>
      </x:c>
      <x:c r="E21" s="455" t="n">
        <x:f>IF(E$4&lt;Assumptions!$B$19,0,IF(E7&lt;=500,E18*44059/288080,MAX(0,44059*((E7/500)^Assumptions!$B$98)-(E11))))</x:f>
        <x:v>0</x:v>
      </x:c>
      <x:c r="F21" s="455" t="n">
        <x:f>IF(F$4&lt;Assumptions!$B$19,0,IF(F7&lt;=500,F18*44059/288080,MAX(0,44059*((F7/500)^Assumptions!$B$98)-(F11))))</x:f>
        <x:v>0</x:v>
      </x:c>
      <x:c r="G21" s="455" t="n">
        <x:f>IF(G$4&lt;Assumptions!$B$19,0,IF(G7&lt;=500,G18*44059/288080,MAX(0,44059*((G7/500)^Assumptions!$B$98)-(G11))))</x:f>
        <x:v>0</x:v>
      </x:c>
      <x:c r="H21" s="455" t="n">
        <x:f>IF(H$4&lt;Assumptions!$B$19,0,IF(H7&lt;=500,H18*44059/288080,MAX(0,44059*((H7/500)^Assumptions!$B$98)-(H11))))</x:f>
        <x:v>0</x:v>
      </x:c>
      <x:c r="I21" s="455" t="n">
        <x:f>IF(I$4&lt;Assumptions!$B$19,0,IF(I7&lt;=500,I18*44059/288080,MAX(0,44059*((I7/500)^Assumptions!$B$98)-(I11))))</x:f>
        <x:v>0</x:v>
      </x:c>
      <x:c r="J21" s="455" t="n">
        <x:f>IF(J$4&lt;Assumptions!$B$19,0,IF(J7&lt;=500,J18*44059/288080,MAX(0,44059*((J7/500)^Assumptions!$B$98)-(J11))))</x:f>
        <x:v>0</x:v>
      </x:c>
      <x:c r="K21" s="455" t="n">
        <x:f>IF(K$4&lt;Assumptions!$B$19,0,IF(K7&lt;=500,K18*44059/288080,MAX(0,44059*((K7/500)^Assumptions!$B$98)-(K11))))</x:f>
        <x:v>0</x:v>
      </x:c>
      <x:c r="L21" s="455" t="n">
        <x:f>IF(L$4&lt;Assumptions!$B$19,0,IF(L7&lt;=500,L18*44059/288080,MAX(0,44059*((L7/500)^Assumptions!$B$98)-(L11))))</x:f>
        <x:v>0</x:v>
      </x:c>
      <x:c r="M21" s="455" t="n">
        <x:f>IF(M$4&lt;Assumptions!$B$19,0,IF(M7&lt;=500,M18*44059/288080,MAX(0,44059*((M7/500)^Assumptions!$B$98)-(M11))))</x:f>
        <x:v>0</x:v>
      </x:c>
      <x:c r="N21" s="455" t="n">
        <x:f>IF(N$4&lt;Assumptions!$B$19,0,IF(N7&lt;=500,N18*44059/288080,MAX(0,44059*((N7/500)^Assumptions!$B$98)-(N11))))</x:f>
        <x:v>0</x:v>
      </x:c>
      <x:c r="O21" s="455" t="n">
        <x:f>IF(O$4&lt;Assumptions!$B$19,0,IF(O7&lt;=500,O18*44059/288080,MAX(0,44059*((O7/500)^Assumptions!$B$98)-(O11))))</x:f>
        <x:v>0</x:v>
      </x:c>
      <x:c r="P21" s="455" t="n">
        <x:f>IF(P$4&lt;Assumptions!$B$19,0,IF(P7&lt;=500,P18*44059/288080,MAX(0,44059*((P7/500)^Assumptions!$B$98)-(P11))))</x:f>
        <x:v>2187.0442238267146</x:v>
      </x:c>
      <x:c r="Q21" s="455" t="n">
        <x:f>IF(Q$4&lt;Assumptions!$B$19,0,IF(Q7&lt;=500,Q18*44059/288080,MAX(0,44059*((Q7/500)^Assumptions!$B$98)-(Q11))))</x:f>
        <x:v>2187.0442238267146</x:v>
      </x:c>
      <x:c r="R21" s="455" t="n">
        <x:f>IF(R$4&lt;Assumptions!$B$19,0,IF(R7&lt;=500,R18*44059/288080,MAX(0,44059*((R7/500)^Assumptions!$B$98)-(R11))))</x:f>
        <x:v>6775.248889197445</x:v>
      </x:c>
      <x:c r="S21" s="455" t="n">
        <x:f>IF(S$4&lt;Assumptions!$B$19,0,IF(S7&lt;=500,S18*44059/288080,MAX(0,44059*((S7/500)^Assumptions!$B$98)-(S11))))</x:f>
        <x:v>6775.248889197445</x:v>
      </x:c>
      <x:c r="T21" s="455" t="n">
        <x:f>IF(T$4&lt;Assumptions!$B$19,0,IF(T7&lt;=500,T18*44059/288080,MAX(0,44059*((T7/500)^Assumptions!$B$98)-(T11))))</x:f>
        <x:v>14422.25666481533</x:v>
      </x:c>
      <x:c r="U21" s="455" t="n">
        <x:f>IF(U$4&lt;Assumptions!$B$19,0,IF(U7&lt;=500,U18*44059/288080,MAX(0,44059*((U7/500)^Assumptions!$B$98)-(U11))))</x:f>
        <x:v>14422.25666481533</x:v>
      </x:c>
      <x:c r="V21" s="455" t="n">
        <x:f>IF(V$4&lt;Assumptions!$B$19,0,IF(V7&lt;=500,V18*44059/288080,MAX(0,44059*((V7/500)^Assumptions!$B$98)-(V11))))</x:f>
        <x:v>33539.77610386004</x:v>
      </x:c>
    </x:row>
    <x:row r="22">
      <x:c r="A22" s="61" t="str">
        <x:v>Additional legal / commercial / licences</x:v>
      </x:c>
      <x:c r="B22" s="455" t="n">
        <x:f>IF(B$4&lt;Assumptions!$B$19,0,IF(B7&lt;=500,B18*27113/288080,MAX(0,27113*((B7/500)^Assumptions!$B$100)-(B13+B15))))</x:f>
        <x:v>0</x:v>
      </x:c>
      <x:c r="C22" s="455" t="n">
        <x:f>IF(C$4&lt;Assumptions!$B$19,0,IF(C7&lt;=500,C18*27113/288080,MAX(0,27113*((C7/500)^Assumptions!$B$100)-(C13+C15))))</x:f>
        <x:v>0</x:v>
      </x:c>
      <x:c r="D22" s="455" t="n">
        <x:f>IF(D$4&lt;Assumptions!$B$19,0,IF(D7&lt;=500,D18*27113/288080,MAX(0,27113*((D7/500)^Assumptions!$B$100)-(D13+D15))))</x:f>
        <x:v>0</x:v>
      </x:c>
      <x:c r="E22" s="455" t="n">
        <x:f>IF(E$4&lt;Assumptions!$B$19,0,IF(E7&lt;=500,E18*27113/288080,MAX(0,27113*((E7/500)^Assumptions!$B$100)-(E13+E15))))</x:f>
        <x:v>0</x:v>
      </x:c>
      <x:c r="F22" s="455" t="n">
        <x:f>IF(F$4&lt;Assumptions!$B$19,0,IF(F7&lt;=500,F18*27113/288080,MAX(0,27113*((F7/500)^Assumptions!$B$100)-(F13+F15))))</x:f>
        <x:v>0</x:v>
      </x:c>
      <x:c r="G22" s="455" t="n">
        <x:f>IF(G$4&lt;Assumptions!$B$19,0,IF(G7&lt;=500,G18*27113/288080,MAX(0,27113*((G7/500)^Assumptions!$B$100)-(G13+G15))))</x:f>
        <x:v>0</x:v>
      </x:c>
      <x:c r="H22" s="455" t="n">
        <x:f>IF(H$4&lt;Assumptions!$B$19,0,IF(H7&lt;=500,H18*27113/288080,MAX(0,27113*((H7/500)^Assumptions!$B$100)-(H13+H15))))</x:f>
        <x:v>0</x:v>
      </x:c>
      <x:c r="I22" s="455" t="n">
        <x:f>IF(I$4&lt;Assumptions!$B$19,0,IF(I7&lt;=500,I18*27113/288080,MAX(0,27113*((I7/500)^Assumptions!$B$100)-(I13+I15))))</x:f>
        <x:v>0</x:v>
      </x:c>
      <x:c r="J22" s="455" t="n">
        <x:f>IF(J$4&lt;Assumptions!$B$19,0,IF(J7&lt;=500,J18*27113/288080,MAX(0,27113*((J7/500)^Assumptions!$B$100)-(J13+J15))))</x:f>
        <x:v>0</x:v>
      </x:c>
      <x:c r="K22" s="455" t="n">
        <x:f>IF(K$4&lt;Assumptions!$B$19,0,IF(K7&lt;=500,K18*27113/288080,MAX(0,27113*((K7/500)^Assumptions!$B$100)-(K13+K15))))</x:f>
        <x:v>0</x:v>
      </x:c>
      <x:c r="L22" s="455" t="n">
        <x:f>IF(L$4&lt;Assumptions!$B$19,0,IF(L7&lt;=500,L18*27113/288080,MAX(0,27113*((L7/500)^Assumptions!$B$100)-(L13+L15))))</x:f>
        <x:v>0</x:v>
      </x:c>
      <x:c r="M22" s="455" t="n">
        <x:f>IF(M$4&lt;Assumptions!$B$19,0,IF(M7&lt;=500,M18*27113/288080,MAX(0,27113*((M7/500)^Assumptions!$B$100)-(M13+M15))))</x:f>
        <x:v>0</x:v>
      </x:c>
      <x:c r="N22" s="455" t="n">
        <x:f>IF(N$4&lt;Assumptions!$B$19,0,IF(N7&lt;=500,N18*27113/288080,MAX(0,27113*((N7/500)^Assumptions!$B$100)-(N13+N15))))</x:f>
        <x:v>0</x:v>
      </x:c>
      <x:c r="O22" s="455" t="n">
        <x:f>IF(O$4&lt;Assumptions!$B$19,0,IF(O7&lt;=500,O18*27113/288080,MAX(0,27113*((O7/500)^Assumptions!$B$100)-(O13+O15))))</x:f>
        <x:v>0</x:v>
      </x:c>
      <x:c r="P22" s="455" t="n">
        <x:f>IF(P$4&lt;Assumptions!$B$19,0,IF(P7&lt;=500,P18*27113/288080,MAX(0,27113*((P7/500)^Assumptions!$B$100)-(P13+P15))))</x:f>
        <x:v>1345.8619133574007</x:v>
      </x:c>
      <x:c r="Q22" s="455" t="n">
        <x:f>IF(Q$4&lt;Assumptions!$B$19,0,IF(Q7&lt;=500,Q18*27113/288080,MAX(0,27113*((Q7/500)^Assumptions!$B$100)-(Q13+Q15))))</x:f>
        <x:v>1345.8619133574007</x:v>
      </x:c>
      <x:c r="R22" s="455" t="n">
        <x:f>IF(R$4&lt;Assumptions!$B$19,0,IF(R7&lt;=500,R18*27113/288080,MAX(0,27113*((R7/500)^Assumptions!$B$100)-(R13+R15))))</x:f>
        <x:v>4169.348444876423</x:v>
      </x:c>
      <x:c r="S22" s="455" t="n">
        <x:f>IF(S$4&lt;Assumptions!$B$19,0,IF(S7&lt;=500,S18*27113/288080,MAX(0,27113*((S7/500)^Assumptions!$B$100)-(S13+S15))))</x:f>
        <x:v>4169.348444876423</x:v>
      </x:c>
      <x:c r="T22" s="455" t="n">
        <x:f>IF(T$4&lt;Assumptions!$B$19,0,IF(T7&lt;=500,T18*27113/288080,MAX(0,27113*((T7/500)^Assumptions!$B$100)-(T13+T15))))</x:f>
        <x:v>8875.15933074146</x:v>
      </x:c>
      <x:c r="U22" s="455" t="n">
        <x:f>IF(U$4&lt;Assumptions!$B$19,0,IF(U7&lt;=500,U18*27113/288080,MAX(0,27113*((U7/500)^Assumptions!$B$100)-(U13+U15))))</x:f>
        <x:v>8875.15933074146</x:v>
      </x:c>
      <x:c r="V22" s="455" t="n">
        <x:f>IF(V$4&lt;Assumptions!$B$19,0,IF(V7&lt;=500,V18*27113/288080,MAX(0,27113*((V7/500)^Assumptions!$B$100)-(V13+V15))))</x:f>
        <x:v>20639.686545404056</x:v>
      </x:c>
    </x:row>
    <x:row r="23">
      <x:c r="A23" s="61" t="str">
        <x:v>Brand / launch / sales operations</x:v>
      </x:c>
      <x:c r="B23" s="455" t="n">
        <x:f>IF(B$4&lt;Assumptions!$B$19,0,IF(B7&lt;=500,B18*40670/288080,MAX(0,40670*((B7/500)^Assumptions!$B$101)-(0))))</x:f>
        <x:v>0</x:v>
      </x:c>
      <x:c r="C23" s="455" t="n">
        <x:f>IF(C$4&lt;Assumptions!$B$19,0,IF(C7&lt;=500,C18*40670/288080,MAX(0,40670*((C7/500)^Assumptions!$B$101)-(0))))</x:f>
        <x:v>0</x:v>
      </x:c>
      <x:c r="D23" s="455" t="n">
        <x:f>IF(D$4&lt;Assumptions!$B$19,0,IF(D7&lt;=500,D18*40670/288080,MAX(0,40670*((D7/500)^Assumptions!$B$101)-(0))))</x:f>
        <x:v>0</x:v>
      </x:c>
      <x:c r="E23" s="455" t="n">
        <x:f>IF(E$4&lt;Assumptions!$B$19,0,IF(E7&lt;=500,E18*40670/288080,MAX(0,40670*((E7/500)^Assumptions!$B$101)-(0))))</x:f>
        <x:v>0</x:v>
      </x:c>
      <x:c r="F23" s="455" t="n">
        <x:f>IF(F$4&lt;Assumptions!$B$19,0,IF(F7&lt;=500,F18*40670/288080,MAX(0,40670*((F7/500)^Assumptions!$B$101)-(0))))</x:f>
        <x:v>0</x:v>
      </x:c>
      <x:c r="G23" s="455" t="n">
        <x:f>IF(G$4&lt;Assumptions!$B$19,0,IF(G7&lt;=500,G18*40670/288080,MAX(0,40670*((G7/500)^Assumptions!$B$101)-(0))))</x:f>
        <x:v>0</x:v>
      </x:c>
      <x:c r="H23" s="455" t="n">
        <x:f>IF(H$4&lt;Assumptions!$B$19,0,IF(H7&lt;=500,H18*40670/288080,MAX(0,40670*((H7/500)^Assumptions!$B$101)-(0))))</x:f>
        <x:v>0</x:v>
      </x:c>
      <x:c r="I23" s="455" t="n">
        <x:f>IF(I$4&lt;Assumptions!$B$19,0,IF(I7&lt;=500,I18*40670/288080,MAX(0,40670*((I7/500)^Assumptions!$B$101)-(0))))</x:f>
        <x:v>0</x:v>
      </x:c>
      <x:c r="J23" s="455" t="n">
        <x:f>IF(J$4&lt;Assumptions!$B$19,0,IF(J7&lt;=500,J18*40670/288080,MAX(0,40670*((J7/500)^Assumptions!$B$101)-(0))))</x:f>
        <x:v>0</x:v>
      </x:c>
      <x:c r="K23" s="455" t="n">
        <x:f>IF(K$4&lt;Assumptions!$B$19,0,IF(K7&lt;=500,K18*40670/288080,MAX(0,40670*((K7/500)^Assumptions!$B$101)-(0))))</x:f>
        <x:v>0</x:v>
      </x:c>
      <x:c r="L23" s="455" t="n">
        <x:f>IF(L$4&lt;Assumptions!$B$19,0,IF(L7&lt;=500,L18*40670/288080,MAX(0,40670*((L7/500)^Assumptions!$B$101)-(0))))</x:f>
        <x:v>0</x:v>
      </x:c>
      <x:c r="M23" s="455" t="n">
        <x:f>IF(M$4&lt;Assumptions!$B$19,0,IF(M7&lt;=500,M18*40670/288080,MAX(0,40670*((M7/500)^Assumptions!$B$101)-(0))))</x:f>
        <x:v>0</x:v>
      </x:c>
      <x:c r="N23" s="455" t="n">
        <x:f>IF(N$4&lt;Assumptions!$B$19,0,IF(N7&lt;=500,N18*40670/288080,MAX(0,40670*((N7/500)^Assumptions!$B$101)-(0))))</x:f>
        <x:v>0</x:v>
      </x:c>
      <x:c r="O23" s="455" t="n">
        <x:f>IF(O$4&lt;Assumptions!$B$19,0,IF(O7&lt;=500,O18*40670/288080,MAX(0,40670*((O7/500)^Assumptions!$B$101)-(0))))</x:f>
        <x:v>0</x:v>
      </x:c>
      <x:c r="P23" s="455" t="n">
        <x:f>IF(P$4&lt;Assumptions!$B$19,0,IF(P7&lt;=500,P18*40670/288080,MAX(0,40670*((P7/500)^Assumptions!$B$101)-(0))))</x:f>
        <x:v>2018.8176895306858</x:v>
      </x:c>
      <x:c r="Q23" s="455" t="n">
        <x:f>IF(Q$4&lt;Assumptions!$B$19,0,IF(Q7&lt;=500,Q18*40670/288080,MAX(0,40670*((Q7/500)^Assumptions!$B$101)-(0))))</x:f>
        <x:v>2018.8176895306858</x:v>
      </x:c>
      <x:c r="R23" s="455" t="n">
        <x:f>IF(R$4&lt;Assumptions!$B$19,0,IF(R7&lt;=500,R18*40670/288080,MAX(0,40670*((R7/500)^Assumptions!$B$101)-(0))))</x:f>
        <x:v>6254.0995556789785</x:v>
      </x:c>
      <x:c r="S23" s="455" t="n">
        <x:f>IF(S$4&lt;Assumptions!$B$19,0,IF(S7&lt;=500,S18*40670/288080,MAX(0,40670*((S7/500)^Assumptions!$B$101)-(0))))</x:f>
        <x:v>6254.0995556789785</x:v>
      </x:c>
      <x:c r="T23" s="455" t="n">
        <x:f>IF(T$4&lt;Assumptions!$B$19,0,IF(T7&lt;=500,T18*40670/288080,MAX(0,40670*((T7/500)^Assumptions!$B$101)-(0))))</x:f>
        <x:v>13312.90266592613</x:v>
      </x:c>
      <x:c r="U23" s="455" t="n">
        <x:f>IF(U$4&lt;Assumptions!$B$19,0,IF(U7&lt;=500,U18*40670/288080,MAX(0,40670*((U7/500)^Assumptions!$B$101)-(0))))</x:f>
        <x:v>13312.90266592613</x:v>
      </x:c>
      <x:c r="V23" s="455" t="n">
        <x:f>IF(V$4&lt;Assumptions!$B$19,0,IF(V7&lt;=500,V18*40670/288080,MAX(0,40670*((V7/500)^Assumptions!$B$101)-(0))))</x:f>
        <x:v>30959.910441544016</x:v>
      </x:c>
    </x:row>
    <x:row r="24">
      <x:c r="A24" s="61" t="str">
        <x:v>Scale-up subtotal</x:v>
      </x:c>
      <x:c r="B24" s="455" t="n">
        <x:f>SUM(B19:B23)</x:f>
        <x:v>0</x:v>
      </x:c>
      <x:c r="C24" s="455" t="n">
        <x:f>SUM(C19:C23)</x:f>
        <x:v>0</x:v>
      </x:c>
      <x:c r="D24" s="455" t="n">
        <x:f>SUM(D19:D23)</x:f>
        <x:v>0</x:v>
      </x:c>
      <x:c r="E24" s="455" t="n">
        <x:f>SUM(E19:E23)</x:f>
        <x:v>0</x:v>
      </x:c>
      <x:c r="F24" s="455" t="n">
        <x:f>SUM(F19:F23)</x:f>
        <x:v>0</x:v>
      </x:c>
      <x:c r="G24" s="455" t="n">
        <x:f>SUM(G19:G23)</x:f>
        <x:v>0</x:v>
      </x:c>
      <x:c r="H24" s="455" t="n">
        <x:f>SUM(H19:H23)</x:f>
        <x:v>0</x:v>
      </x:c>
      <x:c r="I24" s="455" t="n">
        <x:f>SUM(I19:I23)</x:f>
        <x:v>0</x:v>
      </x:c>
      <x:c r="J24" s="455" t="n">
        <x:f>SUM(J19:J23)</x:f>
        <x:v>0</x:v>
      </x:c>
      <x:c r="K24" s="455" t="n">
        <x:f>SUM(K19:K23)</x:f>
        <x:v>0</x:v>
      </x:c>
      <x:c r="L24" s="455" t="n">
        <x:f>SUM(L19:L23)</x:f>
        <x:v>0</x:v>
      </x:c>
      <x:c r="M24" s="455" t="n">
        <x:f>SUM(M19:M23)</x:f>
        <x:v>0</x:v>
      </x:c>
      <x:c r="N24" s="455" t="n">
        <x:f>SUM(N19:N23)</x:f>
        <x:v>0</x:v>
      </x:c>
      <x:c r="O24" s="455" t="n">
        <x:f>SUM(O19:O23)</x:f>
        <x:v>0</x:v>
      </x:c>
      <x:c r="P24" s="455" t="n">
        <x:f>SUM(P19:P23)</x:f>
        <x:v>14300.000000000002</x:v>
      </x:c>
      <x:c r="Q24" s="455" t="n">
        <x:f>SUM(Q19:Q23)</x:f>
        <x:v>14300.000000000002</x:v>
      </x:c>
      <x:c r="R24" s="455" t="n">
        <x:f>SUM(R19:R23)</x:f>
        <x:v>44300</x:v>
      </x:c>
      <x:c r="S24" s="455" t="n">
        <x:f>SUM(S19:S23)</x:f>
        <x:v>44300</x:v>
      </x:c>
      <x:c r="T24" s="455" t="n">
        <x:f>SUM(T19:T23)</x:f>
        <x:v>94300</x:v>
      </x:c>
      <x:c r="U24" s="455" t="n">
        <x:f>SUM(U19:U23)</x:f>
        <x:v>94300</x:v>
      </x:c>
      <x:c r="V24" s="455" t="n">
        <x:f>SUM(V19:V23)</x:f>
        <x:v>219300</x:v>
      </x:c>
    </x:row>
    <x:row r="25">
      <x:c r="A25" s="61" t="str">
        <x:v>Other / contingency fixed OPEX</x:v>
      </x:c>
      <x:c r="B25" s="455" t="n">
        <x:f>B8*0</x:f>
        <x:v>0</x:v>
      </x:c>
      <x:c r="C25" s="455" t="n">
        <x:f>C8*0</x:f>
        <x:v>0</x:v>
      </x:c>
      <x:c r="D25" s="455" t="n">
        <x:f>D8*0</x:f>
        <x:v>0</x:v>
      </x:c>
      <x:c r="E25" s="455" t="n">
        <x:f>E8*0</x:f>
        <x:v>0</x:v>
      </x:c>
      <x:c r="F25" s="455" t="n">
        <x:f>F8*0</x:f>
        <x:v>0</x:v>
      </x:c>
      <x:c r="G25" s="455" t="n">
        <x:f>G8*0</x:f>
        <x:v>0</x:v>
      </x:c>
      <x:c r="H25" s="455" t="n">
        <x:f>H8*0</x:f>
        <x:v>0</x:v>
      </x:c>
      <x:c r="I25" s="455" t="n">
        <x:f>I8*0</x:f>
        <x:v>0</x:v>
      </x:c>
      <x:c r="J25" s="455" t="n">
        <x:f>J8*0</x:f>
        <x:v>0</x:v>
      </x:c>
      <x:c r="K25" s="455" t="n">
        <x:f>K8*0</x:f>
        <x:v>0</x:v>
      </x:c>
      <x:c r="L25" s="455" t="n">
        <x:f>L8*0</x:f>
        <x:v>0</x:v>
      </x:c>
      <x:c r="M25" s="455" t="n">
        <x:f>M8*0</x:f>
        <x:v>0</x:v>
      </x:c>
      <x:c r="N25" s="455" t="n">
        <x:f>N8*0</x:f>
        <x:v>0</x:v>
      </x:c>
      <x:c r="O25" s="455" t="n">
        <x:f>O8*0</x:f>
        <x:v>0</x:v>
      </x:c>
      <x:c r="P25" s="455" t="n">
        <x:f>P8*0</x:f>
        <x:v>0</x:v>
      </x:c>
      <x:c r="Q25" s="455" t="n">
        <x:f>Q8*0</x:f>
        <x:v>0</x:v>
      </x:c>
      <x:c r="R25" s="455" t="n">
        <x:f>R8*0</x:f>
        <x:v>0</x:v>
      </x:c>
      <x:c r="S25" s="455" t="n">
        <x:f>S8*0</x:f>
        <x:v>0</x:v>
      </x:c>
      <x:c r="T25" s="455" t="n">
        <x:f>T8*0</x:f>
        <x:v>0</x:v>
      </x:c>
      <x:c r="U25" s="455" t="n">
        <x:f>U8*0</x:f>
        <x:v>0</x:v>
      </x:c>
      <x:c r="V25" s="455" t="n">
        <x:f>V8*0</x:f>
        <x:v>0</x:v>
      </x:c>
    </x:row>
    <x:row r="26">
      <x:c r="A26" s="456" t="str">
        <x:v>TOTAL PERSONNEL &amp; FIXED OPEX</x:v>
      </x:c>
      <x:c r="B26" s="457" t="n">
        <x:f>B16+B24+B25</x:f>
        <x:v>0</x:v>
      </x:c>
      <x:c r="C26" s="457" t="n">
        <x:f>C16+C24+C25</x:f>
        <x:v>15700</x:v>
      </x:c>
      <x:c r="D26" s="457" t="n">
        <x:f>D16+D24+D25</x:f>
        <x:v>15700</x:v>
      </x:c>
      <x:c r="E26" s="457" t="n">
        <x:f>E16+E24+E25</x:f>
        <x:v>15700</x:v>
      </x:c>
      <x:c r="F26" s="457" t="n">
        <x:f>F16+F24+F25</x:f>
        <x:v>15700</x:v>
      </x:c>
      <x:c r="G26" s="457" t="n">
        <x:f>G16+G24+G25</x:f>
        <x:v>15700</x:v>
      </x:c>
      <x:c r="H26" s="457" t="n">
        <x:f>H16+H24+H25</x:f>
        <x:v>15700</x:v>
      </x:c>
      <x:c r="I26" s="457" t="n">
        <x:f>I16+I24+I25</x:f>
        <x:v>15700</x:v>
      </x:c>
      <x:c r="J26" s="457" t="n">
        <x:f>J16+J24+J25</x:f>
        <x:v>15700</x:v>
      </x:c>
      <x:c r="K26" s="457" t="n">
        <x:f>K16+K24+K25</x:f>
        <x:v>15700</x:v>
      </x:c>
      <x:c r="L26" s="457" t="n">
        <x:f>L16+L24+L25</x:f>
        <x:v>15700</x:v>
      </x:c>
      <x:c r="M26" s="457" t="n">
        <x:f>M16+M24+M25</x:f>
        <x:v>15700</x:v>
      </x:c>
      <x:c r="N26" s="457" t="n">
        <x:f>N16+N24+N25</x:f>
        <x:v>15700</x:v>
      </x:c>
      <x:c r="O26" s="457" t="n">
        <x:f>O16+O24+O25</x:f>
        <x:v>15700</x:v>
      </x:c>
      <x:c r="P26" s="457" t="n">
        <x:f>P16+P24+P25</x:f>
        <x:v>30000</x:v>
      </x:c>
      <x:c r="Q26" s="457" t="n">
        <x:f>Q16+Q24+Q25</x:f>
        <x:v>30000</x:v>
      </x:c>
      <x:c r="R26" s="457" t="n">
        <x:f>R16+R24+R25</x:f>
        <x:v>60000</x:v>
      </x:c>
      <x:c r="S26" s="457" t="n">
        <x:f>S16+S24+S25</x:f>
        <x:v>60000</x:v>
      </x:c>
      <x:c r="T26" s="457" t="n">
        <x:f>T16+T24+T25</x:f>
        <x:v>110000</x:v>
      </x:c>
      <x:c r="U26" s="457" t="n">
        <x:f>U16+U24+U25</x:f>
        <x:v>110000</x:v>
      </x:c>
      <x:c r="V26" s="457" t="n">
        <x:f>V16+V24+V25</x:f>
        <x:v>235000</x:v>
      </x:c>
    </x:row>
    <x:row r="27">
      <x:c r="A27" s="61"/>
      <x:c r="B27" s="61"/>
      <x:c r="C27" s="61"/>
      <x:c r="D27" s="61"/>
      <x:c r="E27" s="61"/>
      <x:c r="F27" s="61"/>
      <x:c r="G27" s="61"/>
      <x:c r="H27" s="61"/>
      <x:c r="I27" s="61"/>
      <x:c r="J27" s="61"/>
      <x:c r="K27" s="61"/>
      <x:c r="L27" s="61"/>
      <x:c r="M27" s="61"/>
      <x:c r="N27" s="61"/>
      <x:c r="O27" s="61"/>
      <x:c r="P27" s="61"/>
      <x:c r="Q27" s="61"/>
      <x:c r="R27" s="61"/>
      <x:c r="S27" s="61"/>
      <x:c r="T27" s="61"/>
      <x:c r="U27" s="61"/>
      <x:c r="V27" s="61"/>
    </x:row>
    <x:row r="28">
      <x:c r="A28" s="61"/>
      <x:c r="B28" s="61"/>
      <x:c r="C28" s="61"/>
      <x:c r="D28" s="61"/>
      <x:c r="E28" s="61"/>
      <x:c r="F28" s="61"/>
      <x:c r="G28" s="61"/>
      <x:c r="H28" s="61"/>
      <x:c r="I28" s="61"/>
      <x:c r="J28" s="61"/>
      <x:c r="K28" s="61"/>
      <x:c r="L28" s="61"/>
      <x:c r="M28" s="61"/>
      <x:c r="N28" s="61"/>
      <x:c r="O28" s="61"/>
      <x:c r="P28" s="61"/>
      <x:c r="Q28" s="61"/>
      <x:c r="R28" s="61"/>
      <x:c r="S28" s="61"/>
      <x:c r="T28" s="61"/>
      <x:c r="U28" s="61"/>
      <x:c r="V28" s="61"/>
    </x:row>
    <x:row r="29">
      <x:c r="A29" s="61"/>
      <x:c r="B29" s="61"/>
      <x:c r="C29" s="61"/>
      <x:c r="D29" s="61"/>
      <x:c r="E29" s="61"/>
      <x:c r="F29" s="61"/>
      <x:c r="G29" s="61"/>
      <x:c r="H29" s="61"/>
      <x:c r="I29" s="61"/>
      <x:c r="J29" s="61"/>
      <x:c r="K29" s="61"/>
      <x:c r="L29" s="61"/>
      <x:c r="M29" s="61"/>
      <x:c r="N29" s="61"/>
      <x:c r="O29" s="61"/>
      <x:c r="P29" s="61"/>
      <x:c r="Q29" s="61"/>
      <x:c r="R29" s="61"/>
      <x:c r="S29" s="61"/>
      <x:c r="T29" s="61"/>
      <x:c r="U29" s="61"/>
      <x:c r="V29" s="61"/>
    </x:row>
    <x:row r="30">
      <x:c r="A30" s="61"/>
      <x:c r="B30" s="61"/>
      <x:c r="C30" s="61"/>
      <x:c r="D30" s="61"/>
      <x:c r="E30" s="61"/>
      <x:c r="F30" s="61"/>
      <x:c r="G30" s="61"/>
      <x:c r="H30" s="61"/>
      <x:c r="I30" s="61"/>
      <x:c r="J30" s="61"/>
      <x:c r="K30" s="61"/>
      <x:c r="L30" s="61"/>
      <x:c r="M30" s="61"/>
      <x:c r="N30" s="61"/>
      <x:c r="O30" s="61"/>
      <x:c r="P30" s="61"/>
      <x:c r="Q30" s="61"/>
      <x:c r="R30" s="61"/>
      <x:c r="S30" s="61"/>
      <x:c r="T30" s="61"/>
      <x:c r="U30" s="61"/>
      <x:c r="V30" s="61"/>
    </x:row>
    <x:row r="31">
      <x:c r="A31" s="453" t="str">
        <x:v>SCENARIO 2 — INSTITUTIONAL ACCELERATION: PERSONNEL &amp; FIXED OPEX</x:v>
      </x:c>
      <x:c r="B31" s="453"/>
      <x:c r="C31" s="453"/>
      <x:c r="D31" s="453"/>
      <x:c r="E31" s="453"/>
      <x:c r="F31" s="453"/>
      <x:c r="G31" s="453"/>
      <x:c r="H31" s="453"/>
      <x:c r="I31" s="453"/>
      <x:c r="J31" s="453"/>
      <x:c r="K31" s="453"/>
      <x:c r="L31" s="453"/>
      <x:c r="M31" s="453"/>
      <x:c r="N31" s="453"/>
      <x:c r="O31" s="453"/>
      <x:c r="P31" s="453"/>
      <x:c r="Q31" s="453"/>
      <x:c r="R31" s="453"/>
      <x:c r="S31" s="453"/>
      <x:c r="T31" s="453"/>
      <x:c r="U31" s="453"/>
      <x:c r="V31" s="453"/>
    </x:row>
    <x:row r="32">
      <x:c r="A32" s="61" t="str">
        <x:v>Active physical machines</x:v>
      </x:c>
      <x:c r="B32" s="454" t="n">
        <x:f>'Scenario 2 Fund'!B18</x:f>
        <x:v>0</x:v>
      </x:c>
      <x:c r="C32" s="454" t="n">
        <x:f>'Scenario 2 Fund'!C18</x:f>
        <x:v>0</x:v>
      </x:c>
      <x:c r="D32" s="454" t="n">
        <x:f>'Scenario 2 Fund'!D18</x:f>
        <x:v>2</x:v>
      </x:c>
      <x:c r="E32" s="454" t="n">
        <x:f>'Scenario 2 Fund'!E18</x:f>
        <x:v>2</x:v>
      </x:c>
      <x:c r="F32" s="454" t="n">
        <x:f>'Scenario 2 Fund'!F18</x:f>
        <x:v>2</x:v>
      </x:c>
      <x:c r="G32" s="454" t="n">
        <x:f>'Scenario 2 Fund'!G18</x:f>
        <x:v>2</x:v>
      </x:c>
      <x:c r="H32" s="454" t="n">
        <x:f>'Scenario 2 Fund'!H18</x:f>
        <x:v>2</x:v>
      </x:c>
      <x:c r="I32" s="454" t="n">
        <x:f>'Scenario 2 Fund'!I18</x:f>
        <x:v>32</x:v>
      </x:c>
      <x:c r="J32" s="454" t="n">
        <x:f>'Scenario 2 Fund'!J18</x:f>
        <x:v>32</x:v>
      </x:c>
      <x:c r="K32" s="454" t="n">
        <x:f>'Scenario 2 Fund'!K18</x:f>
        <x:v>32</x:v>
      </x:c>
      <x:c r="L32" s="454" t="n">
        <x:f>'Scenario 2 Fund'!L18</x:f>
        <x:v>32</x:v>
      </x:c>
      <x:c r="M32" s="454" t="n">
        <x:f>'Scenario 2 Fund'!M18</x:f>
        <x:v>32</x:v>
      </x:c>
      <x:c r="N32" s="454" t="n">
        <x:f>'Scenario 2 Fund'!N18</x:f>
        <x:v>132</x:v>
      </x:c>
      <x:c r="O32" s="454" t="n">
        <x:f>'Scenario 2 Fund'!O18</x:f>
        <x:v>232</x:v>
      </x:c>
      <x:c r="P32" s="454" t="n">
        <x:f>'Scenario 2 Fund'!P18</x:f>
        <x:v>332</x:v>
      </x:c>
      <x:c r="Q32" s="454" t="n">
        <x:f>'Scenario 2 Fund'!Q18</x:f>
        <x:v>532</x:v>
      </x:c>
      <x:c r="R32" s="454" t="n">
        <x:f>'Scenario 2 Fund'!R18</x:f>
        <x:v>532</x:v>
      </x:c>
      <x:c r="S32" s="454" t="n">
        <x:f>'Scenario 2 Fund'!S18</x:f>
        <x:v>732</x:v>
      </x:c>
      <x:c r="T32" s="454" t="n">
        <x:f>'Scenario 2 Fund'!T18</x:f>
        <x:v>732</x:v>
      </x:c>
      <x:c r="U32" s="454" t="n">
        <x:f>'Scenario 2 Fund'!U18</x:f>
        <x:v>1032</x:v>
      </x:c>
      <x:c r="V32" s="454" t="n">
        <x:f>'Scenario 2 Fund'!V18</x:f>
        <x:v>1032</x:v>
      </x:c>
    </x:row>
    <x:row r="33">
      <x:c r="A33" s="61" t="str">
        <x:v>Fixed OPEX target / month</x:v>
      </x:c>
      <x:c r="B33" s="455" t="n">
        <x:f>IF(B$4&lt;Assumptions!$B$19,0,IF(B32&lt;=499,VLOOKUP(MAX(B32,0),'OPEX Scale'!$A$4:$C$10,3,TRUE),(142346*(MAX(1,B32/500)^Assumptions!$B$97))+(33892*(MAX(1,B32/500)^Assumptions!$B$99))+(44059*(MAX(1,B32/500)^Assumptions!$B$98))+(27113*(MAX(1,B32/500)^Assumptions!$B$100))+(40670*(MAX(1,B32/500)^Assumptions!$B$101))))</x:f>
        <x:v>0</x:v>
      </x:c>
      <x:c r="C33" s="455" t="n">
        <x:f>IF(C$4&lt;Assumptions!$B$19,0,IF(C32&lt;=499,VLOOKUP(MAX(C32,0),'OPEX Scale'!$A$4:$C$10,3,TRUE),(142346*(MAX(1,C32/500)^Assumptions!$B$97))+(33892*(MAX(1,C32/500)^Assumptions!$B$99))+(44059*(MAX(1,C32/500)^Assumptions!$B$98))+(27113*(MAX(1,C32/500)^Assumptions!$B$100))+(40670*(MAX(1,C32/500)^Assumptions!$B$101))))</x:f>
        <x:v>15700</x:v>
      </x:c>
      <x:c r="D33" s="455" t="n">
        <x:f>IF(D$4&lt;Assumptions!$B$19,0,IF(D32&lt;=499,VLOOKUP(MAX(D32,0),'OPEX Scale'!$A$4:$C$10,3,TRUE),(142346*(MAX(1,D32/500)^Assumptions!$B$97))+(33892*(MAX(1,D32/500)^Assumptions!$B$99))+(44059*(MAX(1,D32/500)^Assumptions!$B$98))+(27113*(MAX(1,D32/500)^Assumptions!$B$100))+(40670*(MAX(1,D32/500)^Assumptions!$B$101))))</x:f>
        <x:v>15700</x:v>
      </x:c>
      <x:c r="E33" s="455" t="n">
        <x:f>IF(E$4&lt;Assumptions!$B$19,0,IF(E32&lt;=499,VLOOKUP(MAX(E32,0),'OPEX Scale'!$A$4:$C$10,3,TRUE),(142346*(MAX(1,E32/500)^Assumptions!$B$97))+(33892*(MAX(1,E32/500)^Assumptions!$B$99))+(44059*(MAX(1,E32/500)^Assumptions!$B$98))+(27113*(MAX(1,E32/500)^Assumptions!$B$100))+(40670*(MAX(1,E32/500)^Assumptions!$B$101))))</x:f>
        <x:v>15700</x:v>
      </x:c>
      <x:c r="F33" s="455" t="n">
        <x:f>IF(F$4&lt;Assumptions!$B$19,0,IF(F32&lt;=499,VLOOKUP(MAX(F32,0),'OPEX Scale'!$A$4:$C$10,3,TRUE),(142346*(MAX(1,F32/500)^Assumptions!$B$97))+(33892*(MAX(1,F32/500)^Assumptions!$B$99))+(44059*(MAX(1,F32/500)^Assumptions!$B$98))+(27113*(MAX(1,F32/500)^Assumptions!$B$100))+(40670*(MAX(1,F32/500)^Assumptions!$B$101))))</x:f>
        <x:v>15700</x:v>
      </x:c>
      <x:c r="G33" s="455" t="n">
        <x:f>IF(G$4&lt;Assumptions!$B$19,0,IF(G32&lt;=499,VLOOKUP(MAX(G32,0),'OPEX Scale'!$A$4:$C$10,3,TRUE),(142346*(MAX(1,G32/500)^Assumptions!$B$97))+(33892*(MAX(1,G32/500)^Assumptions!$B$99))+(44059*(MAX(1,G32/500)^Assumptions!$B$98))+(27113*(MAX(1,G32/500)^Assumptions!$B$100))+(40670*(MAX(1,G32/500)^Assumptions!$B$101))))</x:f>
        <x:v>15700</x:v>
      </x:c>
      <x:c r="H33" s="455" t="n">
        <x:f>IF(H$4&lt;Assumptions!$B$19,0,IF(H32&lt;=499,VLOOKUP(MAX(H32,0),'OPEX Scale'!$A$4:$C$10,3,TRUE),(142346*(MAX(1,H32/500)^Assumptions!$B$97))+(33892*(MAX(1,H32/500)^Assumptions!$B$99))+(44059*(MAX(1,H32/500)^Assumptions!$B$98))+(27113*(MAX(1,H32/500)^Assumptions!$B$100))+(40670*(MAX(1,H32/500)^Assumptions!$B$101))))</x:f>
        <x:v>15700</x:v>
      </x:c>
      <x:c r="I33" s="455" t="n">
        <x:f>IF(I$4&lt;Assumptions!$B$19,0,IF(I32&lt;=499,VLOOKUP(MAX(I32,0),'OPEX Scale'!$A$4:$C$10,3,TRUE),(142346*(MAX(1,I32/500)^Assumptions!$B$97))+(33892*(MAX(1,I32/500)^Assumptions!$B$99))+(44059*(MAX(1,I32/500)^Assumptions!$B$98))+(27113*(MAX(1,I32/500)^Assumptions!$B$100))+(40670*(MAX(1,I32/500)^Assumptions!$B$101))))</x:f>
        <x:v>15700</x:v>
      </x:c>
      <x:c r="J33" s="455" t="n">
        <x:f>IF(J$4&lt;Assumptions!$B$19,0,IF(J32&lt;=499,VLOOKUP(MAX(J32,0),'OPEX Scale'!$A$4:$C$10,3,TRUE),(142346*(MAX(1,J32/500)^Assumptions!$B$97))+(33892*(MAX(1,J32/500)^Assumptions!$B$99))+(44059*(MAX(1,J32/500)^Assumptions!$B$98))+(27113*(MAX(1,J32/500)^Assumptions!$B$100))+(40670*(MAX(1,J32/500)^Assumptions!$B$101))))</x:f>
        <x:v>15700</x:v>
      </x:c>
      <x:c r="K33" s="455" t="n">
        <x:f>IF(K$4&lt;Assumptions!$B$19,0,IF(K32&lt;=499,VLOOKUP(MAX(K32,0),'OPEX Scale'!$A$4:$C$10,3,TRUE),(142346*(MAX(1,K32/500)^Assumptions!$B$97))+(33892*(MAX(1,K32/500)^Assumptions!$B$99))+(44059*(MAX(1,K32/500)^Assumptions!$B$98))+(27113*(MAX(1,K32/500)^Assumptions!$B$100))+(40670*(MAX(1,K32/500)^Assumptions!$B$101))))</x:f>
        <x:v>15700</x:v>
      </x:c>
      <x:c r="L33" s="455" t="n">
        <x:f>IF(L$4&lt;Assumptions!$B$19,0,IF(L32&lt;=499,VLOOKUP(MAX(L32,0),'OPEX Scale'!$A$4:$C$10,3,TRUE),(142346*(MAX(1,L32/500)^Assumptions!$B$97))+(33892*(MAX(1,L32/500)^Assumptions!$B$99))+(44059*(MAX(1,L32/500)^Assumptions!$B$98))+(27113*(MAX(1,L32/500)^Assumptions!$B$100))+(40670*(MAX(1,L32/500)^Assumptions!$B$101))))</x:f>
        <x:v>15700</x:v>
      </x:c>
      <x:c r="M33" s="455" t="n">
        <x:f>IF(M$4&lt;Assumptions!$B$19,0,IF(M32&lt;=499,VLOOKUP(MAX(M32,0),'OPEX Scale'!$A$4:$C$10,3,TRUE),(142346*(MAX(1,M32/500)^Assumptions!$B$97))+(33892*(MAX(1,M32/500)^Assumptions!$B$99))+(44059*(MAX(1,M32/500)^Assumptions!$B$98))+(27113*(MAX(1,M32/500)^Assumptions!$B$100))+(40670*(MAX(1,M32/500)^Assumptions!$B$101))))</x:f>
        <x:v>15700</x:v>
      </x:c>
      <x:c r="N33" s="455" t="n">
        <x:f>IF(N$4&lt;Assumptions!$B$19,0,IF(N32&lt;=499,VLOOKUP(MAX(N32,0),'OPEX Scale'!$A$4:$C$10,3,TRUE),(142346*(MAX(1,N32/500)^Assumptions!$B$97))+(33892*(MAX(1,N32/500)^Assumptions!$B$99))+(44059*(MAX(1,N32/500)^Assumptions!$B$98))+(27113*(MAX(1,N32/500)^Assumptions!$B$100))+(40670*(MAX(1,N32/500)^Assumptions!$B$101))))</x:f>
        <x:v>60000</x:v>
      </x:c>
      <x:c r="O33" s="455" t="n">
        <x:f>IF(O$4&lt;Assumptions!$B$19,0,IF(O32&lt;=499,VLOOKUP(MAX(O32,0),'OPEX Scale'!$A$4:$C$10,3,TRUE),(142346*(MAX(1,O32/500)^Assumptions!$B$97))+(33892*(MAX(1,O32/500)^Assumptions!$B$99))+(44059*(MAX(1,O32/500)^Assumptions!$B$98))+(27113*(MAX(1,O32/500)^Assumptions!$B$100))+(40670*(MAX(1,O32/500)^Assumptions!$B$101))))</x:f>
        <x:v>110000</x:v>
      </x:c>
      <x:c r="P33" s="455" t="n">
        <x:f>IF(P$4&lt;Assumptions!$B$19,0,IF(P32&lt;=499,VLOOKUP(MAX(P32,0),'OPEX Scale'!$A$4:$C$10,3,TRUE),(142346*(MAX(1,P32/500)^Assumptions!$B$97))+(33892*(MAX(1,P32/500)^Assumptions!$B$99))+(44059*(MAX(1,P32/500)^Assumptions!$B$98))+(27113*(MAX(1,P32/500)^Assumptions!$B$100))+(40670*(MAX(1,P32/500)^Assumptions!$B$101))))</x:f>
        <x:v>180000</x:v>
      </x:c>
      <x:c r="Q33" s="455" t="n">
        <x:f>IF(Q$4&lt;Assumptions!$B$19,0,IF(Q32&lt;=499,VLOOKUP(MAX(Q32,0),'OPEX Scale'!$A$4:$C$10,3,TRUE),(142346*(MAX(1,Q32/500)^Assumptions!$B$97))+(33892*(MAX(1,Q32/500)^Assumptions!$B$99))+(44059*(MAX(1,Q32/500)^Assumptions!$B$98))+(27113*(MAX(1,Q32/500)^Assumptions!$B$100))+(40670*(MAX(1,Q32/500)^Assumptions!$B$101))))</x:f>
        <x:v>302467.2399395251</x:v>
      </x:c>
      <x:c r="R33" s="455" t="n">
        <x:f>IF(R$4&lt;Assumptions!$B$19,0,IF(R32&lt;=499,VLOOKUP(MAX(R32,0),'OPEX Scale'!$A$4:$C$10,3,TRUE),(142346*(MAX(1,R32/500)^Assumptions!$B$97))+(33892*(MAX(1,R32/500)^Assumptions!$B$99))+(44059*(MAX(1,R32/500)^Assumptions!$B$98))+(27113*(MAX(1,R32/500)^Assumptions!$B$100))+(40670*(MAX(1,R32/500)^Assumptions!$B$101))))</x:f>
        <x:v>302467.2399395251</x:v>
      </x:c>
      <x:c r="S33" s="455" t="n">
        <x:f>IF(S$4&lt;Assumptions!$B$19,0,IF(S32&lt;=499,VLOOKUP(MAX(S32,0),'OPEX Scale'!$A$4:$C$10,3,TRUE),(142346*(MAX(1,S32/500)^Assumptions!$B$97))+(33892*(MAX(1,S32/500)^Assumptions!$B$99))+(44059*(MAX(1,S32/500)^Assumptions!$B$98))+(27113*(MAX(1,S32/500)^Assumptions!$B$100))+(40670*(MAX(1,S32/500)^Assumptions!$B$101))))</x:f>
        <x:v>389775.4228844533</x:v>
      </x:c>
      <x:c r="T33" s="455" t="n">
        <x:f>IF(T$4&lt;Assumptions!$B$19,0,IF(T32&lt;=499,VLOOKUP(MAX(T32,0),'OPEX Scale'!$A$4:$C$10,3,TRUE),(142346*(MAX(1,T32/500)^Assumptions!$B$97))+(33892*(MAX(1,T32/500)^Assumptions!$B$99))+(44059*(MAX(1,T32/500)^Assumptions!$B$98))+(27113*(MAX(1,T32/500)^Assumptions!$B$100))+(40670*(MAX(1,T32/500)^Assumptions!$B$101))))</x:f>
        <x:v>389775.4228844533</x:v>
      </x:c>
      <x:c r="U33" s="455" t="n">
        <x:f>IF(U$4&lt;Assumptions!$B$19,0,IF(U32&lt;=499,VLOOKUP(MAX(U32,0),'OPEX Scale'!$A$4:$C$10,3,TRUE),(142346*(MAX(1,U32/500)^Assumptions!$B$97))+(33892*(MAX(1,U32/500)^Assumptions!$B$99))+(44059*(MAX(1,U32/500)^Assumptions!$B$98))+(27113*(MAX(1,U32/500)^Assumptions!$B$100))+(40670*(MAX(1,U32/500)^Assumptions!$B$101))))</x:f>
        <x:v>514832.12633281323</x:v>
      </x:c>
      <x:c r="V33" s="455" t="n">
        <x:f>IF(V$4&lt;Assumptions!$B$19,0,IF(V32&lt;=499,VLOOKUP(MAX(V32,0),'OPEX Scale'!$A$4:$C$10,3,TRUE),(142346*(MAX(1,V32/500)^Assumptions!$B$97))+(33892*(MAX(1,V32/500)^Assumptions!$B$99))+(44059*(MAX(1,V32/500)^Assumptions!$B$98))+(27113*(MAX(1,V32/500)^Assumptions!$B$100))+(40670*(MAX(1,V32/500)^Assumptions!$B$101))))</x:f>
        <x:v>514832.12633281323</x:v>
      </x:c>
    </x:row>
    <x:row r="34">
      <x:c r="A34" s="61"/>
      <x:c r="B34" s="61"/>
      <x:c r="C34" s="61"/>
      <x:c r="D34" s="61"/>
      <x:c r="E34" s="61"/>
      <x:c r="F34" s="61"/>
      <x:c r="G34" s="61"/>
      <x:c r="H34" s="61"/>
      <x:c r="I34" s="61"/>
      <x:c r="J34" s="61"/>
      <x:c r="K34" s="61"/>
      <x:c r="L34" s="61"/>
      <x:c r="M34" s="61"/>
      <x:c r="N34" s="61"/>
      <x:c r="O34" s="61"/>
      <x:c r="P34" s="61"/>
      <x:c r="Q34" s="61"/>
      <x:c r="R34" s="61"/>
      <x:c r="S34" s="61"/>
      <x:c r="T34" s="61"/>
      <x:c r="U34" s="61"/>
      <x:c r="V34" s="61"/>
    </x:row>
    <x:row r="35">
      <x:c r="A35" s="61" t="str">
        <x:v>COO / operations</x:v>
      </x:c>
      <x:c r="B35" s="455" t="n">
        <x:f>IF(B$4&lt;Assumptions!$B$19,0,Assumptions!$B$65)</x:f>
        <x:v>0</x:v>
      </x:c>
      <x:c r="C35" s="455" t="n">
        <x:f>IF(C$4&lt;Assumptions!$B$19,0,Assumptions!$B$65)</x:f>
        <x:v>6000</x:v>
      </x:c>
      <x:c r="D35" s="455" t="n">
        <x:f>IF(D$4&lt;Assumptions!$B$19,0,Assumptions!$B$65)</x:f>
        <x:v>6000</x:v>
      </x:c>
      <x:c r="E35" s="455" t="n">
        <x:f>IF(E$4&lt;Assumptions!$B$19,0,Assumptions!$B$65)</x:f>
        <x:v>6000</x:v>
      </x:c>
      <x:c r="F35" s="455" t="n">
        <x:f>IF(F$4&lt;Assumptions!$B$19,0,Assumptions!$B$65)</x:f>
        <x:v>6000</x:v>
      </x:c>
      <x:c r="G35" s="455" t="n">
        <x:f>IF(G$4&lt;Assumptions!$B$19,0,Assumptions!$B$65)</x:f>
        <x:v>6000</x:v>
      </x:c>
      <x:c r="H35" s="455" t="n">
        <x:f>IF(H$4&lt;Assumptions!$B$19,0,Assumptions!$B$65)</x:f>
        <x:v>6000</x:v>
      </x:c>
      <x:c r="I35" s="455" t="n">
        <x:f>IF(I$4&lt;Assumptions!$B$19,0,Assumptions!$B$65)</x:f>
        <x:v>6000</x:v>
      </x:c>
      <x:c r="J35" s="455" t="n">
        <x:f>IF(J$4&lt;Assumptions!$B$19,0,Assumptions!$B$65)</x:f>
        <x:v>6000</x:v>
      </x:c>
      <x:c r="K35" s="455" t="n">
        <x:f>IF(K$4&lt;Assumptions!$B$19,0,Assumptions!$B$65)</x:f>
        <x:v>6000</x:v>
      </x:c>
      <x:c r="L35" s="455" t="n">
        <x:f>IF(L$4&lt;Assumptions!$B$19,0,Assumptions!$B$65)</x:f>
        <x:v>6000</x:v>
      </x:c>
      <x:c r="M35" s="455" t="n">
        <x:f>IF(M$4&lt;Assumptions!$B$19,0,Assumptions!$B$65)</x:f>
        <x:v>6000</x:v>
      </x:c>
      <x:c r="N35" s="455" t="n">
        <x:f>IF(N$4&lt;Assumptions!$B$19,0,Assumptions!$B$65)</x:f>
        <x:v>6000</x:v>
      </x:c>
      <x:c r="O35" s="455" t="n">
        <x:f>IF(O$4&lt;Assumptions!$B$19,0,Assumptions!$B$65)</x:f>
        <x:v>6000</x:v>
      </x:c>
      <x:c r="P35" s="455" t="n">
        <x:f>IF(P$4&lt;Assumptions!$B$19,0,Assumptions!$B$65)</x:f>
        <x:v>6000</x:v>
      </x:c>
      <x:c r="Q35" s="455" t="n">
        <x:f>IF(Q$4&lt;Assumptions!$B$19,0,Assumptions!$B$65)</x:f>
        <x:v>6000</x:v>
      </x:c>
      <x:c r="R35" s="455" t="n">
        <x:f>IF(R$4&lt;Assumptions!$B$19,0,Assumptions!$B$65)</x:f>
        <x:v>6000</x:v>
      </x:c>
      <x:c r="S35" s="455" t="n">
        <x:f>IF(S$4&lt;Assumptions!$B$19,0,Assumptions!$B$65)</x:f>
        <x:v>6000</x:v>
      </x:c>
      <x:c r="T35" s="455" t="n">
        <x:f>IF(T$4&lt;Assumptions!$B$19,0,Assumptions!$B$65)</x:f>
        <x:v>6000</x:v>
      </x:c>
      <x:c r="U35" s="455" t="n">
        <x:f>IF(U$4&lt;Assumptions!$B$19,0,Assumptions!$B$65)</x:f>
        <x:v>6000</x:v>
      </x:c>
      <x:c r="V35" s="455" t="n">
        <x:f>IF(V$4&lt;Assumptions!$B$19,0,Assumptions!$B$65)</x:f>
        <x:v>6000</x:v>
      </x:c>
    </x:row>
    <x:row r="36">
      <x:c r="A36" s="61" t="str">
        <x:v>NEXUS / software development &amp; maintenance</x:v>
      </x:c>
      <x:c r="B36" s="455" t="n">
        <x:f>IF(B$4&lt;Assumptions!$B$19,0,Assumptions!$B$66)</x:f>
        <x:v>0</x:v>
      </x:c>
      <x:c r="C36" s="455" t="n">
        <x:f>IF(C$4&lt;Assumptions!$B$19,0,Assumptions!$B$66)</x:f>
        <x:v>1000</x:v>
      </x:c>
      <x:c r="D36" s="455" t="n">
        <x:f>IF(D$4&lt;Assumptions!$B$19,0,Assumptions!$B$66)</x:f>
        <x:v>1000</x:v>
      </x:c>
      <x:c r="E36" s="455" t="n">
        <x:f>IF(E$4&lt;Assumptions!$B$19,0,Assumptions!$B$66)</x:f>
        <x:v>1000</x:v>
      </x:c>
      <x:c r="F36" s="455" t="n">
        <x:f>IF(F$4&lt;Assumptions!$B$19,0,Assumptions!$B$66)</x:f>
        <x:v>1000</x:v>
      </x:c>
      <x:c r="G36" s="455" t="n">
        <x:f>IF(G$4&lt;Assumptions!$B$19,0,Assumptions!$B$66)</x:f>
        <x:v>1000</x:v>
      </x:c>
      <x:c r="H36" s="455" t="n">
        <x:f>IF(H$4&lt;Assumptions!$B$19,0,Assumptions!$B$66)</x:f>
        <x:v>1000</x:v>
      </x:c>
      <x:c r="I36" s="455" t="n">
        <x:f>IF(I$4&lt;Assumptions!$B$19,0,Assumptions!$B$66)</x:f>
        <x:v>1000</x:v>
      </x:c>
      <x:c r="J36" s="455" t="n">
        <x:f>IF(J$4&lt;Assumptions!$B$19,0,Assumptions!$B$66)</x:f>
        <x:v>1000</x:v>
      </x:c>
      <x:c r="K36" s="455" t="n">
        <x:f>IF(K$4&lt;Assumptions!$B$19,0,Assumptions!$B$66)</x:f>
        <x:v>1000</x:v>
      </x:c>
      <x:c r="L36" s="455" t="n">
        <x:f>IF(L$4&lt;Assumptions!$B$19,0,Assumptions!$B$66)</x:f>
        <x:v>1000</x:v>
      </x:c>
      <x:c r="M36" s="455" t="n">
        <x:f>IF(M$4&lt;Assumptions!$B$19,0,Assumptions!$B$66)</x:f>
        <x:v>1000</x:v>
      </x:c>
      <x:c r="N36" s="455" t="n">
        <x:f>IF(N$4&lt;Assumptions!$B$19,0,Assumptions!$B$66)</x:f>
        <x:v>1000</x:v>
      </x:c>
      <x:c r="O36" s="455" t="n">
        <x:f>IF(O$4&lt;Assumptions!$B$19,0,Assumptions!$B$66)</x:f>
        <x:v>1000</x:v>
      </x:c>
      <x:c r="P36" s="455" t="n">
        <x:f>IF(P$4&lt;Assumptions!$B$19,0,Assumptions!$B$66)</x:f>
        <x:v>1000</x:v>
      </x:c>
      <x:c r="Q36" s="455" t="n">
        <x:f>IF(Q$4&lt;Assumptions!$B$19,0,Assumptions!$B$66)</x:f>
        <x:v>1000</x:v>
      </x:c>
      <x:c r="R36" s="455" t="n">
        <x:f>IF(R$4&lt;Assumptions!$B$19,0,Assumptions!$B$66)</x:f>
        <x:v>1000</x:v>
      </x:c>
      <x:c r="S36" s="455" t="n">
        <x:f>IF(S$4&lt;Assumptions!$B$19,0,Assumptions!$B$66)</x:f>
        <x:v>1000</x:v>
      </x:c>
      <x:c r="T36" s="455" t="n">
        <x:f>IF(T$4&lt;Assumptions!$B$19,0,Assumptions!$B$66)</x:f>
        <x:v>1000</x:v>
      </x:c>
      <x:c r="U36" s="455" t="n">
        <x:f>IF(U$4&lt;Assumptions!$B$19,0,Assumptions!$B$66)</x:f>
        <x:v>1000</x:v>
      </x:c>
      <x:c r="V36" s="455" t="n">
        <x:f>IF(V$4&lt;Assumptions!$B$19,0,Assumptions!$B$66)</x:f>
        <x:v>1000</x:v>
      </x:c>
    </x:row>
    <x:row r="37">
      <x:c r="A37" s="61" t="str">
        <x:v>Designers / collections / packs</x:v>
      </x:c>
      <x:c r="B37" s="455" t="n">
        <x:f>IF(B$4&lt;Assumptions!$B$19,0,Assumptions!$B$67)</x:f>
        <x:v>0</x:v>
      </x:c>
      <x:c r="C37" s="455" t="n">
        <x:f>IF(C$4&lt;Assumptions!$B$19,0,Assumptions!$B$67)</x:f>
        <x:v>3000</x:v>
      </x:c>
      <x:c r="D37" s="455" t="n">
        <x:f>IF(D$4&lt;Assumptions!$B$19,0,Assumptions!$B$67)</x:f>
        <x:v>3000</x:v>
      </x:c>
      <x:c r="E37" s="455" t="n">
        <x:f>IF(E$4&lt;Assumptions!$B$19,0,Assumptions!$B$67)</x:f>
        <x:v>3000</x:v>
      </x:c>
      <x:c r="F37" s="455" t="n">
        <x:f>IF(F$4&lt;Assumptions!$B$19,0,Assumptions!$B$67)</x:f>
        <x:v>3000</x:v>
      </x:c>
      <x:c r="G37" s="455" t="n">
        <x:f>IF(G$4&lt;Assumptions!$B$19,0,Assumptions!$B$67)</x:f>
        <x:v>3000</x:v>
      </x:c>
      <x:c r="H37" s="455" t="n">
        <x:f>IF(H$4&lt;Assumptions!$B$19,0,Assumptions!$B$67)</x:f>
        <x:v>3000</x:v>
      </x:c>
      <x:c r="I37" s="455" t="n">
        <x:f>IF(I$4&lt;Assumptions!$B$19,0,Assumptions!$B$67)</x:f>
        <x:v>3000</x:v>
      </x:c>
      <x:c r="J37" s="455" t="n">
        <x:f>IF(J$4&lt;Assumptions!$B$19,0,Assumptions!$B$67)</x:f>
        <x:v>3000</x:v>
      </x:c>
      <x:c r="K37" s="455" t="n">
        <x:f>IF(K$4&lt;Assumptions!$B$19,0,Assumptions!$B$67)</x:f>
        <x:v>3000</x:v>
      </x:c>
      <x:c r="L37" s="455" t="n">
        <x:f>IF(L$4&lt;Assumptions!$B$19,0,Assumptions!$B$67)</x:f>
        <x:v>3000</x:v>
      </x:c>
      <x:c r="M37" s="455" t="n">
        <x:f>IF(M$4&lt;Assumptions!$B$19,0,Assumptions!$B$67)</x:f>
        <x:v>3000</x:v>
      </x:c>
      <x:c r="N37" s="455" t="n">
        <x:f>IF(N$4&lt;Assumptions!$B$19,0,Assumptions!$B$67)</x:f>
        <x:v>3000</x:v>
      </x:c>
      <x:c r="O37" s="455" t="n">
        <x:f>IF(O$4&lt;Assumptions!$B$19,0,Assumptions!$B$67)</x:f>
        <x:v>3000</x:v>
      </x:c>
      <x:c r="P37" s="455" t="n">
        <x:f>IF(P$4&lt;Assumptions!$B$19,0,Assumptions!$B$67)</x:f>
        <x:v>3000</x:v>
      </x:c>
      <x:c r="Q37" s="455" t="n">
        <x:f>IF(Q$4&lt;Assumptions!$B$19,0,Assumptions!$B$67)</x:f>
        <x:v>3000</x:v>
      </x:c>
      <x:c r="R37" s="455" t="n">
        <x:f>IF(R$4&lt;Assumptions!$B$19,0,Assumptions!$B$67)</x:f>
        <x:v>3000</x:v>
      </x:c>
      <x:c r="S37" s="455" t="n">
        <x:f>IF(S$4&lt;Assumptions!$B$19,0,Assumptions!$B$67)</x:f>
        <x:v>3000</x:v>
      </x:c>
      <x:c r="T37" s="455" t="n">
        <x:f>IF(T$4&lt;Assumptions!$B$19,0,Assumptions!$B$67)</x:f>
        <x:v>3000</x:v>
      </x:c>
      <x:c r="U37" s="455" t="n">
        <x:f>IF(U$4&lt;Assumptions!$B$19,0,Assumptions!$B$67)</x:f>
        <x:v>3000</x:v>
      </x:c>
      <x:c r="V37" s="455" t="n">
        <x:f>IF(V$4&lt;Assumptions!$B$19,0,Assumptions!$B$67)</x:f>
        <x:v>3000</x:v>
      </x:c>
    </x:row>
    <x:row r="38">
      <x:c r="A38" s="61" t="str">
        <x:v>Commercial / licences / partners</x:v>
      </x:c>
      <x:c r="B38" s="455" t="n">
        <x:f>IF(B$4&lt;Assumptions!$B$19,0,Assumptions!$B$68)</x:f>
        <x:v>0</x:v>
      </x:c>
      <x:c r="C38" s="455" t="n">
        <x:f>IF(C$4&lt;Assumptions!$B$19,0,Assumptions!$B$68)</x:f>
        <x:v>1000</x:v>
      </x:c>
      <x:c r="D38" s="455" t="n">
        <x:f>IF(D$4&lt;Assumptions!$B$19,0,Assumptions!$B$68)</x:f>
        <x:v>1000</x:v>
      </x:c>
      <x:c r="E38" s="455" t="n">
        <x:f>IF(E$4&lt;Assumptions!$B$19,0,Assumptions!$B$68)</x:f>
        <x:v>1000</x:v>
      </x:c>
      <x:c r="F38" s="455" t="n">
        <x:f>IF(F$4&lt;Assumptions!$B$19,0,Assumptions!$B$68)</x:f>
        <x:v>1000</x:v>
      </x:c>
      <x:c r="G38" s="455" t="n">
        <x:f>IF(G$4&lt;Assumptions!$B$19,0,Assumptions!$B$68)</x:f>
        <x:v>1000</x:v>
      </x:c>
      <x:c r="H38" s="455" t="n">
        <x:f>IF(H$4&lt;Assumptions!$B$19,0,Assumptions!$B$68)</x:f>
        <x:v>1000</x:v>
      </x:c>
      <x:c r="I38" s="455" t="n">
        <x:f>IF(I$4&lt;Assumptions!$B$19,0,Assumptions!$B$68)</x:f>
        <x:v>1000</x:v>
      </x:c>
      <x:c r="J38" s="455" t="n">
        <x:f>IF(J$4&lt;Assumptions!$B$19,0,Assumptions!$B$68)</x:f>
        <x:v>1000</x:v>
      </x:c>
      <x:c r="K38" s="455" t="n">
        <x:f>IF(K$4&lt;Assumptions!$B$19,0,Assumptions!$B$68)</x:f>
        <x:v>1000</x:v>
      </x:c>
      <x:c r="L38" s="455" t="n">
        <x:f>IF(L$4&lt;Assumptions!$B$19,0,Assumptions!$B$68)</x:f>
        <x:v>1000</x:v>
      </x:c>
      <x:c r="M38" s="455" t="n">
        <x:f>IF(M$4&lt;Assumptions!$B$19,0,Assumptions!$B$68)</x:f>
        <x:v>1000</x:v>
      </x:c>
      <x:c r="N38" s="455" t="n">
        <x:f>IF(N$4&lt;Assumptions!$B$19,0,Assumptions!$B$68)</x:f>
        <x:v>1000</x:v>
      </x:c>
      <x:c r="O38" s="455" t="n">
        <x:f>IF(O$4&lt;Assumptions!$B$19,0,Assumptions!$B$68)</x:f>
        <x:v>1000</x:v>
      </x:c>
      <x:c r="P38" s="455" t="n">
        <x:f>IF(P$4&lt;Assumptions!$B$19,0,Assumptions!$B$68)</x:f>
        <x:v>1000</x:v>
      </x:c>
      <x:c r="Q38" s="455" t="n">
        <x:f>IF(Q$4&lt;Assumptions!$B$19,0,Assumptions!$B$68)</x:f>
        <x:v>1000</x:v>
      </x:c>
      <x:c r="R38" s="455" t="n">
        <x:f>IF(R$4&lt;Assumptions!$B$19,0,Assumptions!$B$68)</x:f>
        <x:v>1000</x:v>
      </x:c>
      <x:c r="S38" s="455" t="n">
        <x:f>IF(S$4&lt;Assumptions!$B$19,0,Assumptions!$B$68)</x:f>
        <x:v>1000</x:v>
      </x:c>
      <x:c r="T38" s="455" t="n">
        <x:f>IF(T$4&lt;Assumptions!$B$19,0,Assumptions!$B$68)</x:f>
        <x:v>1000</x:v>
      </x:c>
      <x:c r="U38" s="455" t="n">
        <x:f>IF(U$4&lt;Assumptions!$B$19,0,Assumptions!$B$68)</x:f>
        <x:v>1000</x:v>
      </x:c>
      <x:c r="V38" s="455" t="n">
        <x:f>IF(V$4&lt;Assumptions!$B$19,0,Assumptions!$B$68)</x:f>
        <x:v>1000</x:v>
      </x:c>
    </x:row>
    <x:row r="39">
      <x:c r="A39" s="61" t="str">
        <x:v>Rent / administration</x:v>
      </x:c>
      <x:c r="B39" s="455" t="n">
        <x:f>IF(B$4&lt;Assumptions!$B$19,0,Assumptions!$B$69)</x:f>
        <x:v>0</x:v>
      </x:c>
      <x:c r="C39" s="455" t="n">
        <x:f>IF(C$4&lt;Assumptions!$B$19,0,Assumptions!$B$69)</x:f>
        <x:v>2700</x:v>
      </x:c>
      <x:c r="D39" s="455" t="n">
        <x:f>IF(D$4&lt;Assumptions!$B$19,0,Assumptions!$B$69)</x:f>
        <x:v>2700</x:v>
      </x:c>
      <x:c r="E39" s="455" t="n">
        <x:f>IF(E$4&lt;Assumptions!$B$19,0,Assumptions!$B$69)</x:f>
        <x:v>2700</x:v>
      </x:c>
      <x:c r="F39" s="455" t="n">
        <x:f>IF(F$4&lt;Assumptions!$B$19,0,Assumptions!$B$69)</x:f>
        <x:v>2700</x:v>
      </x:c>
      <x:c r="G39" s="455" t="n">
        <x:f>IF(G$4&lt;Assumptions!$B$19,0,Assumptions!$B$69)</x:f>
        <x:v>2700</x:v>
      </x:c>
      <x:c r="H39" s="455" t="n">
        <x:f>IF(H$4&lt;Assumptions!$B$19,0,Assumptions!$B$69)</x:f>
        <x:v>2700</x:v>
      </x:c>
      <x:c r="I39" s="455" t="n">
        <x:f>IF(I$4&lt;Assumptions!$B$19,0,Assumptions!$B$69)</x:f>
        <x:v>2700</x:v>
      </x:c>
      <x:c r="J39" s="455" t="n">
        <x:f>IF(J$4&lt;Assumptions!$B$19,0,Assumptions!$B$69)</x:f>
        <x:v>2700</x:v>
      </x:c>
      <x:c r="K39" s="455" t="n">
        <x:f>IF(K$4&lt;Assumptions!$B$19,0,Assumptions!$B$69)</x:f>
        <x:v>2700</x:v>
      </x:c>
      <x:c r="L39" s="455" t="n">
        <x:f>IF(L$4&lt;Assumptions!$B$19,0,Assumptions!$B$69)</x:f>
        <x:v>2700</x:v>
      </x:c>
      <x:c r="M39" s="455" t="n">
        <x:f>IF(M$4&lt;Assumptions!$B$19,0,Assumptions!$B$69)</x:f>
        <x:v>2700</x:v>
      </x:c>
      <x:c r="N39" s="455" t="n">
        <x:f>IF(N$4&lt;Assumptions!$B$19,0,Assumptions!$B$69)</x:f>
        <x:v>2700</x:v>
      </x:c>
      <x:c r="O39" s="455" t="n">
        <x:f>IF(O$4&lt;Assumptions!$B$19,0,Assumptions!$B$69)</x:f>
        <x:v>2700</x:v>
      </x:c>
      <x:c r="P39" s="455" t="n">
        <x:f>IF(P$4&lt;Assumptions!$B$19,0,Assumptions!$B$69)</x:f>
        <x:v>2700</x:v>
      </x:c>
      <x:c r="Q39" s="455" t="n">
        <x:f>IF(Q$4&lt;Assumptions!$B$19,0,Assumptions!$B$69)</x:f>
        <x:v>2700</x:v>
      </x:c>
      <x:c r="R39" s="455" t="n">
        <x:f>IF(R$4&lt;Assumptions!$B$19,0,Assumptions!$B$69)</x:f>
        <x:v>2700</x:v>
      </x:c>
      <x:c r="S39" s="455" t="n">
        <x:f>IF(S$4&lt;Assumptions!$B$19,0,Assumptions!$B$69)</x:f>
        <x:v>2700</x:v>
      </x:c>
      <x:c r="T39" s="455" t="n">
        <x:f>IF(T$4&lt;Assumptions!$B$19,0,Assumptions!$B$69)</x:f>
        <x:v>2700</x:v>
      </x:c>
      <x:c r="U39" s="455" t="n">
        <x:f>IF(U$4&lt;Assumptions!$B$19,0,Assumptions!$B$69)</x:f>
        <x:v>2700</x:v>
      </x:c>
      <x:c r="V39" s="455" t="n">
        <x:f>IF(V$4&lt;Assumptions!$B$19,0,Assumptions!$B$69)</x:f>
        <x:v>2700</x:v>
      </x:c>
    </x:row>
    <x:row r="40">
      <x:c r="A40" s="61" t="str">
        <x:v>Legal / intellectual property</x:v>
      </x:c>
      <x:c r="B40" s="455" t="n">
        <x:f>IF(B$4&lt;Assumptions!$B$19,0,Assumptions!$B$70)</x:f>
        <x:v>0</x:v>
      </x:c>
      <x:c r="C40" s="455" t="n">
        <x:f>IF(C$4&lt;Assumptions!$B$19,0,Assumptions!$B$70)</x:f>
        <x:v>2000</x:v>
      </x:c>
      <x:c r="D40" s="455" t="n">
        <x:f>IF(D$4&lt;Assumptions!$B$19,0,Assumptions!$B$70)</x:f>
        <x:v>2000</x:v>
      </x:c>
      <x:c r="E40" s="455" t="n">
        <x:f>IF(E$4&lt;Assumptions!$B$19,0,Assumptions!$B$70)</x:f>
        <x:v>2000</x:v>
      </x:c>
      <x:c r="F40" s="455" t="n">
        <x:f>IF(F$4&lt;Assumptions!$B$19,0,Assumptions!$B$70)</x:f>
        <x:v>2000</x:v>
      </x:c>
      <x:c r="G40" s="455" t="n">
        <x:f>IF(G$4&lt;Assumptions!$B$19,0,Assumptions!$B$70)</x:f>
        <x:v>2000</x:v>
      </x:c>
      <x:c r="H40" s="455" t="n">
        <x:f>IF(H$4&lt;Assumptions!$B$19,0,Assumptions!$B$70)</x:f>
        <x:v>2000</x:v>
      </x:c>
      <x:c r="I40" s="455" t="n">
        <x:f>IF(I$4&lt;Assumptions!$B$19,0,Assumptions!$B$70)</x:f>
        <x:v>2000</x:v>
      </x:c>
      <x:c r="J40" s="455" t="n">
        <x:f>IF(J$4&lt;Assumptions!$B$19,0,Assumptions!$B$70)</x:f>
        <x:v>2000</x:v>
      </x:c>
      <x:c r="K40" s="455" t="n">
        <x:f>IF(K$4&lt;Assumptions!$B$19,0,Assumptions!$B$70)</x:f>
        <x:v>2000</x:v>
      </x:c>
      <x:c r="L40" s="455" t="n">
        <x:f>IF(L$4&lt;Assumptions!$B$19,0,Assumptions!$B$70)</x:f>
        <x:v>2000</x:v>
      </x:c>
      <x:c r="M40" s="455" t="n">
        <x:f>IF(M$4&lt;Assumptions!$B$19,0,Assumptions!$B$70)</x:f>
        <x:v>2000</x:v>
      </x:c>
      <x:c r="N40" s="455" t="n">
        <x:f>IF(N$4&lt;Assumptions!$B$19,0,Assumptions!$B$70)</x:f>
        <x:v>2000</x:v>
      </x:c>
      <x:c r="O40" s="455" t="n">
        <x:f>IF(O$4&lt;Assumptions!$B$19,0,Assumptions!$B$70)</x:f>
        <x:v>2000</x:v>
      </x:c>
      <x:c r="P40" s="455" t="n">
        <x:f>IF(P$4&lt;Assumptions!$B$19,0,Assumptions!$B$70)</x:f>
        <x:v>2000</x:v>
      </x:c>
      <x:c r="Q40" s="455" t="n">
        <x:f>IF(Q$4&lt;Assumptions!$B$19,0,Assumptions!$B$70)</x:f>
        <x:v>2000</x:v>
      </x:c>
      <x:c r="R40" s="455" t="n">
        <x:f>IF(R$4&lt;Assumptions!$B$19,0,Assumptions!$B$70)</x:f>
        <x:v>2000</x:v>
      </x:c>
      <x:c r="S40" s="455" t="n">
        <x:f>IF(S$4&lt;Assumptions!$B$19,0,Assumptions!$B$70)</x:f>
        <x:v>2000</x:v>
      </x:c>
      <x:c r="T40" s="455" t="n">
        <x:f>IF(T$4&lt;Assumptions!$B$19,0,Assumptions!$B$70)</x:f>
        <x:v>2000</x:v>
      </x:c>
      <x:c r="U40" s="455" t="n">
        <x:f>IF(U$4&lt;Assumptions!$B$19,0,Assumptions!$B$70)</x:f>
        <x:v>2000</x:v>
      </x:c>
      <x:c r="V40" s="455" t="n">
        <x:f>IF(V$4&lt;Assumptions!$B$19,0,Assumptions!$B$70)</x:f>
        <x:v>2000</x:v>
      </x:c>
    </x:row>
    <x:row r="41">
      <x:c r="A41" s="61" t="str">
        <x:v>Lean base subtotal</x:v>
      </x:c>
      <x:c r="B41" s="455" t="n">
        <x:f>SUM(B35:B40)</x:f>
        <x:v>0</x:v>
      </x:c>
      <x:c r="C41" s="455" t="n">
        <x:f>SUM(C35:C40)</x:f>
        <x:v>15700</x:v>
      </x:c>
      <x:c r="D41" s="455" t="n">
        <x:f>SUM(D35:D40)</x:f>
        <x:v>15700</x:v>
      </x:c>
      <x:c r="E41" s="455" t="n">
        <x:f>SUM(E35:E40)</x:f>
        <x:v>15700</x:v>
      </x:c>
      <x:c r="F41" s="455" t="n">
        <x:f>SUM(F35:F40)</x:f>
        <x:v>15700</x:v>
      </x:c>
      <x:c r="G41" s="455" t="n">
        <x:f>SUM(G35:G40)</x:f>
        <x:v>15700</x:v>
      </x:c>
      <x:c r="H41" s="455" t="n">
        <x:f>SUM(H35:H40)</x:f>
        <x:v>15700</x:v>
      </x:c>
      <x:c r="I41" s="455" t="n">
        <x:f>SUM(I35:I40)</x:f>
        <x:v>15700</x:v>
      </x:c>
      <x:c r="J41" s="455" t="n">
        <x:f>SUM(J35:J40)</x:f>
        <x:v>15700</x:v>
      </x:c>
      <x:c r="K41" s="455" t="n">
        <x:f>SUM(K35:K40)</x:f>
        <x:v>15700</x:v>
      </x:c>
      <x:c r="L41" s="455" t="n">
        <x:f>SUM(L35:L40)</x:f>
        <x:v>15700</x:v>
      </x:c>
      <x:c r="M41" s="455" t="n">
        <x:f>SUM(M35:M40)</x:f>
        <x:v>15700</x:v>
      </x:c>
      <x:c r="N41" s="455" t="n">
        <x:f>SUM(N35:N40)</x:f>
        <x:v>15700</x:v>
      </x:c>
      <x:c r="O41" s="455" t="n">
        <x:f>SUM(O35:O40)</x:f>
        <x:v>15700</x:v>
      </x:c>
      <x:c r="P41" s="455" t="n">
        <x:f>SUM(P35:P40)</x:f>
        <x:v>15700</x:v>
      </x:c>
      <x:c r="Q41" s="455" t="n">
        <x:f>SUM(Q35:Q40)</x:f>
        <x:v>15700</x:v>
      </x:c>
      <x:c r="R41" s="455" t="n">
        <x:f>SUM(R35:R40)</x:f>
        <x:v>15700</x:v>
      </x:c>
      <x:c r="S41" s="455" t="n">
        <x:f>SUM(S35:S40)</x:f>
        <x:v>15700</x:v>
      </x:c>
      <x:c r="T41" s="455" t="n">
        <x:f>SUM(T35:T40)</x:f>
        <x:v>15700</x:v>
      </x:c>
      <x:c r="U41" s="455" t="n">
        <x:f>SUM(U35:U40)</x:f>
        <x:v>15700</x:v>
      </x:c>
      <x:c r="V41" s="455" t="n">
        <x:f>SUM(V35:V40)</x:f>
        <x:v>15700</x:v>
      </x:c>
    </x:row>
    <x:row r="42">
      <x:c r="A42" s="61"/>
      <x:c r="B42" s="455"/>
      <x:c r="C42" s="455"/>
      <x:c r="D42" s="455"/>
      <x:c r="E42" s="455"/>
      <x:c r="F42" s="455"/>
      <x:c r="G42" s="455"/>
      <x:c r="H42" s="455"/>
      <x:c r="I42" s="455"/>
      <x:c r="J42" s="455"/>
      <x:c r="K42" s="455"/>
      <x:c r="L42" s="455"/>
      <x:c r="M42" s="455"/>
      <x:c r="N42" s="455"/>
      <x:c r="O42" s="455"/>
      <x:c r="P42" s="455"/>
      <x:c r="Q42" s="455"/>
      <x:c r="R42" s="455"/>
      <x:c r="S42" s="455"/>
      <x:c r="T42" s="455"/>
      <x:c r="U42" s="455"/>
      <x:c r="V42" s="455"/>
    </x:row>
    <x:row r="43">
      <x:c r="A43" s="61" t="str">
        <x:v>Scale-up top-up above lean base</x:v>
      </x:c>
      <x:c r="B43" s="455" t="n">
        <x:f>MAX(0,B33-B41)</x:f>
        <x:v>0</x:v>
      </x:c>
      <x:c r="C43" s="455" t="n">
        <x:f>MAX(0,C33-C41)</x:f>
        <x:v>0</x:v>
      </x:c>
      <x:c r="D43" s="455" t="n">
        <x:f>MAX(0,D33-D41)</x:f>
        <x:v>0</x:v>
      </x:c>
      <x:c r="E43" s="455" t="n">
        <x:f>MAX(0,E33-E41)</x:f>
        <x:v>0</x:v>
      </x:c>
      <x:c r="F43" s="455" t="n">
        <x:f>MAX(0,F33-F41)</x:f>
        <x:v>0</x:v>
      </x:c>
      <x:c r="G43" s="455" t="n">
        <x:f>MAX(0,G33-G41)</x:f>
        <x:v>0</x:v>
      </x:c>
      <x:c r="H43" s="455" t="n">
        <x:f>MAX(0,H33-H41)</x:f>
        <x:v>0</x:v>
      </x:c>
      <x:c r="I43" s="455" t="n">
        <x:f>MAX(0,I33-I41)</x:f>
        <x:v>0</x:v>
      </x:c>
      <x:c r="J43" s="455" t="n">
        <x:f>MAX(0,J33-J41)</x:f>
        <x:v>0</x:v>
      </x:c>
      <x:c r="K43" s="455" t="n">
        <x:f>MAX(0,K33-K41)</x:f>
        <x:v>0</x:v>
      </x:c>
      <x:c r="L43" s="455" t="n">
        <x:f>MAX(0,L33-L41)</x:f>
        <x:v>0</x:v>
      </x:c>
      <x:c r="M43" s="455" t="n">
        <x:f>MAX(0,M33-M41)</x:f>
        <x:v>0</x:v>
      </x:c>
      <x:c r="N43" s="455" t="n">
        <x:f>MAX(0,N33-N41)</x:f>
        <x:v>44300</x:v>
      </x:c>
      <x:c r="O43" s="455" t="n">
        <x:f>MAX(0,O33-O41)</x:f>
        <x:v>94300</x:v>
      </x:c>
      <x:c r="P43" s="455" t="n">
        <x:f>MAX(0,P33-P41)</x:f>
        <x:v>164300</x:v>
      </x:c>
      <x:c r="Q43" s="455" t="n">
        <x:f>MAX(0,Q33-Q41)</x:f>
        <x:v>286767.2399395251</x:v>
      </x:c>
      <x:c r="R43" s="455" t="n">
        <x:f>MAX(0,R33-R41)</x:f>
        <x:v>286767.2399395251</x:v>
      </x:c>
      <x:c r="S43" s="455" t="n">
        <x:f>MAX(0,S33-S41)</x:f>
        <x:v>374075.4228844533</x:v>
      </x:c>
      <x:c r="T43" s="455" t="n">
        <x:f>MAX(0,T33-T41)</x:f>
        <x:v>374075.4228844533</x:v>
      </x:c>
      <x:c r="U43" s="455" t="n">
        <x:f>MAX(0,U33-U41)</x:f>
        <x:v>499132.12633281323</x:v>
      </x:c>
      <x:c r="V43" s="455" t="n">
        <x:f>MAX(0,V33-V41)</x:f>
        <x:v>499132.12633281323</x:v>
      </x:c>
    </x:row>
    <x:row r="44">
      <x:c r="A44" s="61" t="str">
        <x:v>Additional headcount &amp; field operations</x:v>
      </x:c>
      <x:c r="B44" s="455" t="n">
        <x:f>IF(B$4&lt;Assumptions!$B$19,0,IF(B32&lt;=500,B43*142346/288080,MAX(0,142346*((B32/500)^Assumptions!$B$97)-(B35+B37))))</x:f>
        <x:v>0</x:v>
      </x:c>
      <x:c r="C44" s="455" t="n">
        <x:f>IF(C$4&lt;Assumptions!$B$19,0,IF(C32&lt;=500,C43*142346/288080,MAX(0,142346*((C32/500)^Assumptions!$B$97)-(C35+C37))))</x:f>
        <x:v>0</x:v>
      </x:c>
      <x:c r="D44" s="455" t="n">
        <x:f>IF(D$4&lt;Assumptions!$B$19,0,IF(D32&lt;=500,D43*142346/288080,MAX(0,142346*((D32/500)^Assumptions!$B$97)-(D35+D37))))</x:f>
        <x:v>0</x:v>
      </x:c>
      <x:c r="E44" s="455" t="n">
        <x:f>IF(E$4&lt;Assumptions!$B$19,0,IF(E32&lt;=500,E43*142346/288080,MAX(0,142346*((E32/500)^Assumptions!$B$97)-(E35+E37))))</x:f>
        <x:v>0</x:v>
      </x:c>
      <x:c r="F44" s="455" t="n">
        <x:f>IF(F$4&lt;Assumptions!$B$19,0,IF(F32&lt;=500,F43*142346/288080,MAX(0,142346*((F32/500)^Assumptions!$B$97)-(F35+F37))))</x:f>
        <x:v>0</x:v>
      </x:c>
      <x:c r="G44" s="455" t="n">
        <x:f>IF(G$4&lt;Assumptions!$B$19,0,IF(G32&lt;=500,G43*142346/288080,MAX(0,142346*((G32/500)^Assumptions!$B$97)-(G35+G37))))</x:f>
        <x:v>0</x:v>
      </x:c>
      <x:c r="H44" s="455" t="n">
        <x:f>IF(H$4&lt;Assumptions!$B$19,0,IF(H32&lt;=500,H43*142346/288080,MAX(0,142346*((H32/500)^Assumptions!$B$97)-(H35+H37))))</x:f>
        <x:v>0</x:v>
      </x:c>
      <x:c r="I44" s="455" t="n">
        <x:f>IF(I$4&lt;Assumptions!$B$19,0,IF(I32&lt;=500,I43*142346/288080,MAX(0,142346*((I32/500)^Assumptions!$B$97)-(I35+I37))))</x:f>
        <x:v>0</x:v>
      </x:c>
      <x:c r="J44" s="455" t="n">
        <x:f>IF(J$4&lt;Assumptions!$B$19,0,IF(J32&lt;=500,J43*142346/288080,MAX(0,142346*((J32/500)^Assumptions!$B$97)-(J35+J37))))</x:f>
        <x:v>0</x:v>
      </x:c>
      <x:c r="K44" s="455" t="n">
        <x:f>IF(K$4&lt;Assumptions!$B$19,0,IF(K32&lt;=500,K43*142346/288080,MAX(0,142346*((K32/500)^Assumptions!$B$97)-(K35+K37))))</x:f>
        <x:v>0</x:v>
      </x:c>
      <x:c r="L44" s="455" t="n">
        <x:f>IF(L$4&lt;Assumptions!$B$19,0,IF(L32&lt;=500,L43*142346/288080,MAX(0,142346*((L32/500)^Assumptions!$B$97)-(L35+L37))))</x:f>
        <x:v>0</x:v>
      </x:c>
      <x:c r="M44" s="455" t="n">
        <x:f>IF(M$4&lt;Assumptions!$B$19,0,IF(M32&lt;=500,M43*142346/288080,MAX(0,142346*((M32/500)^Assumptions!$B$97)-(M35+M37))))</x:f>
        <x:v>0</x:v>
      </x:c>
      <x:c r="N44" s="455" t="n">
        <x:f>IF(N$4&lt;Assumptions!$B$19,0,IF(N32&lt;=500,N43*142346/288080,MAX(0,142346*((N32/500)^Assumptions!$B$97)-(N35+N37))))</x:f>
        <x:v>21889.50222160511</x:v>
      </x:c>
      <x:c r="O44" s="455" t="n">
        <x:f>IF(O$4&lt;Assumptions!$B$19,0,IF(O32&lt;=500,O43*142346/288080,MAX(0,142346*((O32/500)^Assumptions!$B$97)-(O35+O37))))</x:f>
        <x:v>46595.48667036934</x:v>
      </x:c>
      <x:c r="P44" s="455" t="n">
        <x:f>IF(P$4&lt;Assumptions!$B$19,0,IF(P32&lt;=500,P43*142346/288080,MAX(0,142346*((P32/500)^Assumptions!$B$97)-(P35+P37))))</x:f>
        <x:v>81183.86489863927</x:v>
      </x:c>
      <x:c r="Q44" s="455" t="n">
        <x:f>IF(Q$4&lt;Assumptions!$B$19,0,IF(Q32&lt;=500,Q43*142346/288080,MAX(0,142346*((Q32/500)^Assumptions!$B$97)-(Q35+Q37))))</x:f>
        <x:v>142456.144</x:v>
      </x:c>
      <x:c r="R44" s="455" t="n">
        <x:f>IF(R$4&lt;Assumptions!$B$19,0,IF(R32&lt;=500,R43*142346/288080,MAX(0,142346*((R32/500)^Assumptions!$B$97)-(R35+R37))))</x:f>
        <x:v>142456.144</x:v>
      </x:c>
      <x:c r="S44" s="455" t="n">
        <x:f>IF(S$4&lt;Assumptions!$B$19,0,IF(S32&lt;=500,S43*142346/288080,MAX(0,142346*((S32/500)^Assumptions!$B$97)-(S35+S37))))</x:f>
        <x:v>199394.544</x:v>
      </x:c>
      <x:c r="T44" s="455" t="n">
        <x:f>IF(T$4&lt;Assumptions!$B$19,0,IF(T32&lt;=500,T43*142346/288080,MAX(0,142346*((T32/500)^Assumptions!$B$97)-(T35+T37))))</x:f>
        <x:v>199394.544</x:v>
      </x:c>
      <x:c r="U44" s="455" t="n">
        <x:f>IF(U$4&lt;Assumptions!$B$19,0,IF(U32&lt;=500,U43*142346/288080,MAX(0,142346*((U32/500)^Assumptions!$B$97)-(U35+U37))))</x:f>
        <x:v>284802.14400000003</x:v>
      </x:c>
      <x:c r="V44" s="455" t="n">
        <x:f>IF(V$4&lt;Assumptions!$B$19,0,IF(V32&lt;=500,V43*142346/288080,MAX(0,142346*((V32/500)^Assumptions!$B$97)-(V35+V37))))</x:f>
        <x:v>284802.14400000003</x:v>
      </x:c>
    </x:row>
    <x:row r="45">
      <x:c r="A45" s="61" t="str">
        <x:v>Insurance / permits / finance &amp; admin</x:v>
      </x:c>
      <x:c r="B45" s="455" t="n">
        <x:f>IF(B$4&lt;Assumptions!$B$19,0,IF(B32&lt;=500,B43*33892/288080,MAX(0,33892*((B32/500)^Assumptions!$B$99)-(B39))))</x:f>
        <x:v>0</x:v>
      </x:c>
      <x:c r="C45" s="455" t="n">
        <x:f>IF(C$4&lt;Assumptions!$B$19,0,IF(C32&lt;=500,C43*33892/288080,MAX(0,33892*((C32/500)^Assumptions!$B$99)-(C39))))</x:f>
        <x:v>0</x:v>
      </x:c>
      <x:c r="D45" s="455" t="n">
        <x:f>IF(D$4&lt;Assumptions!$B$19,0,IF(D32&lt;=500,D43*33892/288080,MAX(0,33892*((D32/500)^Assumptions!$B$99)-(D39))))</x:f>
        <x:v>0</x:v>
      </x:c>
      <x:c r="E45" s="455" t="n">
        <x:f>IF(E$4&lt;Assumptions!$B$19,0,IF(E32&lt;=500,E43*33892/288080,MAX(0,33892*((E32/500)^Assumptions!$B$99)-(E39))))</x:f>
        <x:v>0</x:v>
      </x:c>
      <x:c r="F45" s="455" t="n">
        <x:f>IF(F$4&lt;Assumptions!$B$19,0,IF(F32&lt;=500,F43*33892/288080,MAX(0,33892*((F32/500)^Assumptions!$B$99)-(F39))))</x:f>
        <x:v>0</x:v>
      </x:c>
      <x:c r="G45" s="455" t="n">
        <x:f>IF(G$4&lt;Assumptions!$B$19,0,IF(G32&lt;=500,G43*33892/288080,MAX(0,33892*((G32/500)^Assumptions!$B$99)-(G39))))</x:f>
        <x:v>0</x:v>
      </x:c>
      <x:c r="H45" s="455" t="n">
        <x:f>IF(H$4&lt;Assumptions!$B$19,0,IF(H32&lt;=500,H43*33892/288080,MAX(0,33892*((H32/500)^Assumptions!$B$99)-(H39))))</x:f>
        <x:v>0</x:v>
      </x:c>
      <x:c r="I45" s="455" t="n">
        <x:f>IF(I$4&lt;Assumptions!$B$19,0,IF(I32&lt;=500,I43*33892/288080,MAX(0,33892*((I32/500)^Assumptions!$B$99)-(I39))))</x:f>
        <x:v>0</x:v>
      </x:c>
      <x:c r="J45" s="455" t="n">
        <x:f>IF(J$4&lt;Assumptions!$B$19,0,IF(J32&lt;=500,J43*33892/288080,MAX(0,33892*((J32/500)^Assumptions!$B$99)-(J39))))</x:f>
        <x:v>0</x:v>
      </x:c>
      <x:c r="K45" s="455" t="n">
        <x:f>IF(K$4&lt;Assumptions!$B$19,0,IF(K32&lt;=500,K43*33892/288080,MAX(0,33892*((K32/500)^Assumptions!$B$99)-(K39))))</x:f>
        <x:v>0</x:v>
      </x:c>
      <x:c r="L45" s="455" t="n">
        <x:f>IF(L$4&lt;Assumptions!$B$19,0,IF(L32&lt;=500,L43*33892/288080,MAX(0,33892*((L32/500)^Assumptions!$B$99)-(L39))))</x:f>
        <x:v>0</x:v>
      </x:c>
      <x:c r="M45" s="455" t="n">
        <x:f>IF(M$4&lt;Assumptions!$B$19,0,IF(M32&lt;=500,M43*33892/288080,MAX(0,33892*((M32/500)^Assumptions!$B$99)-(M39))))</x:f>
        <x:v>0</x:v>
      </x:c>
      <x:c r="N45" s="455" t="n">
        <x:f>IF(N$4&lt;Assumptions!$B$19,0,IF(N32&lt;=500,N43*33892/288080,MAX(0,33892*((N32/500)^Assumptions!$B$99)-(N39))))</x:f>
        <x:v>5211.800888642044</x:v>
      </x:c>
      <x:c r="O45" s="455" t="n">
        <x:f>IF(O$4&lt;Assumptions!$B$19,0,IF(O32&lt;=500,O43*33892/288080,MAX(0,33892*((O32/500)^Assumptions!$B$99)-(O39))))</x:f>
        <x:v>11094.194668147737</x:v>
      </x:c>
      <x:c r="P45" s="455" t="n">
        <x:f>IF(P$4&lt;Assumptions!$B$19,0,IF(P32&lt;=500,P43*33892/288080,MAX(0,33892*((P32/500)^Assumptions!$B$99)-(P39))))</x:f>
        <x:v>19329.545959455707</x:v>
      </x:c>
      <x:c r="Q45" s="455" t="n">
        <x:f>IF(Q$4&lt;Assumptions!$B$19,0,IF(Q32&lt;=500,Q43*33892/288080,MAX(0,33892*((Q32/500)^Assumptions!$B$99)-(Q39))))</x:f>
        <x:v>32259.725320660058</x:v>
      </x:c>
      <x:c r="R45" s="455" t="n">
        <x:f>IF(R$4&lt;Assumptions!$B$19,0,IF(R32&lt;=500,R43*33892/288080,MAX(0,33892*((R32/500)^Assumptions!$B$99)-(R39))))</x:f>
        <x:v>32259.725320660058</x:v>
      </x:c>
      <x:c r="S45" s="455" t="n">
        <x:f>IF(S$4&lt;Assumptions!$B$19,0,IF(S32&lt;=500,S43*33892/288080,MAX(0,33892*((S32/500)^Assumptions!$B$99)-(S39))))</x:f>
        <x:v>38307.919480217475</x:v>
      </x:c>
      <x:c r="T45" s="455" t="n">
        <x:f>IF(T$4&lt;Assumptions!$B$19,0,IF(T32&lt;=500,T43*33892/288080,MAX(0,33892*((T32/500)^Assumptions!$B$99)-(T39))))</x:f>
        <x:v>38307.919480217475</x:v>
      </x:c>
      <x:c r="U45" s="455" t="n">
        <x:f>IF(U$4&lt;Assumptions!$B$19,0,IF(U32&lt;=500,U43*33892/288080,MAX(0,33892*((U32/500)^Assumptions!$B$99)-(U39))))</x:f>
        <x:v>45991.375606938855</x:v>
      </x:c>
      <x:c r="V45" s="455" t="n">
        <x:f>IF(V$4&lt;Assumptions!$B$19,0,IF(V32&lt;=500,V43*33892/288080,MAX(0,33892*((V32/500)^Assumptions!$B$99)-(V39))))</x:f>
        <x:v>45991.375606938855</x:v>
      </x:c>
    </x:row>
    <x:row r="46">
      <x:c r="A46" s="61" t="str">
        <x:v>Additional NEXUS / technology / cloud &amp; data</x:v>
      </x:c>
      <x:c r="B46" s="455" t="n">
        <x:f>IF(B$4&lt;Assumptions!$B$19,0,IF(B32&lt;=500,B43*44059/288080,MAX(0,44059*((B32/500)^Assumptions!$B$98)-(B36))))</x:f>
        <x:v>0</x:v>
      </x:c>
      <x:c r="C46" s="455" t="n">
        <x:f>IF(C$4&lt;Assumptions!$B$19,0,IF(C32&lt;=500,C43*44059/288080,MAX(0,44059*((C32/500)^Assumptions!$B$98)-(C36))))</x:f>
        <x:v>0</x:v>
      </x:c>
      <x:c r="D46" s="455" t="n">
        <x:f>IF(D$4&lt;Assumptions!$B$19,0,IF(D32&lt;=500,D43*44059/288080,MAX(0,44059*((D32/500)^Assumptions!$B$98)-(D36))))</x:f>
        <x:v>0</x:v>
      </x:c>
      <x:c r="E46" s="455" t="n">
        <x:f>IF(E$4&lt;Assumptions!$B$19,0,IF(E32&lt;=500,E43*44059/288080,MAX(0,44059*((E32/500)^Assumptions!$B$98)-(E36))))</x:f>
        <x:v>0</x:v>
      </x:c>
      <x:c r="F46" s="455" t="n">
        <x:f>IF(F$4&lt;Assumptions!$B$19,0,IF(F32&lt;=500,F43*44059/288080,MAX(0,44059*((F32/500)^Assumptions!$B$98)-(F36))))</x:f>
        <x:v>0</x:v>
      </x:c>
      <x:c r="G46" s="455" t="n">
        <x:f>IF(G$4&lt;Assumptions!$B$19,0,IF(G32&lt;=500,G43*44059/288080,MAX(0,44059*((G32/500)^Assumptions!$B$98)-(G36))))</x:f>
        <x:v>0</x:v>
      </x:c>
      <x:c r="H46" s="455" t="n">
        <x:f>IF(H$4&lt;Assumptions!$B$19,0,IF(H32&lt;=500,H43*44059/288080,MAX(0,44059*((H32/500)^Assumptions!$B$98)-(H36))))</x:f>
        <x:v>0</x:v>
      </x:c>
      <x:c r="I46" s="455" t="n">
        <x:f>IF(I$4&lt;Assumptions!$B$19,0,IF(I32&lt;=500,I43*44059/288080,MAX(0,44059*((I32/500)^Assumptions!$B$98)-(I36))))</x:f>
        <x:v>0</x:v>
      </x:c>
      <x:c r="J46" s="455" t="n">
        <x:f>IF(J$4&lt;Assumptions!$B$19,0,IF(J32&lt;=500,J43*44059/288080,MAX(0,44059*((J32/500)^Assumptions!$B$98)-(J36))))</x:f>
        <x:v>0</x:v>
      </x:c>
      <x:c r="K46" s="455" t="n">
        <x:f>IF(K$4&lt;Assumptions!$B$19,0,IF(K32&lt;=500,K43*44059/288080,MAX(0,44059*((K32/500)^Assumptions!$B$98)-(K36))))</x:f>
        <x:v>0</x:v>
      </x:c>
      <x:c r="L46" s="455" t="n">
        <x:f>IF(L$4&lt;Assumptions!$B$19,0,IF(L32&lt;=500,L43*44059/288080,MAX(0,44059*((L32/500)^Assumptions!$B$98)-(L36))))</x:f>
        <x:v>0</x:v>
      </x:c>
      <x:c r="M46" s="455" t="n">
        <x:f>IF(M$4&lt;Assumptions!$B$19,0,IF(M32&lt;=500,M43*44059/288080,MAX(0,44059*((M32/500)^Assumptions!$B$98)-(M36))))</x:f>
        <x:v>0</x:v>
      </x:c>
      <x:c r="N46" s="455" t="n">
        <x:f>IF(N$4&lt;Assumptions!$B$19,0,IF(N32&lt;=500,N43*44059/288080,MAX(0,44059*((N32/500)^Assumptions!$B$98)-(N36))))</x:f>
        <x:v>6775.248889197445</x:v>
      </x:c>
      <x:c r="O46" s="455" t="n">
        <x:f>IF(O$4&lt;Assumptions!$B$19,0,IF(O32&lt;=500,O43*44059/288080,MAX(0,44059*((O32/500)^Assumptions!$B$98)-(O36))))</x:f>
        <x:v>14422.25666481533</x:v>
      </x:c>
      <x:c r="P46" s="455" t="n">
        <x:f>IF(P$4&lt;Assumptions!$B$19,0,IF(P32&lt;=500,P43*44059/288080,MAX(0,44059*((P32/500)^Assumptions!$B$98)-(P36))))</x:f>
        <x:v>25128.067550680367</x:v>
      </x:c>
      <x:c r="Q46" s="455" t="n">
        <x:f>IF(Q$4&lt;Assumptions!$B$19,0,IF(Q32&lt;=500,Q43*44059/288080,MAX(0,44059*((Q32/500)^Assumptions!$B$98)-(Q36))))</x:f>
        <x:v>44871.89631793221</x:v>
      </x:c>
      <x:c r="R46" s="455" t="n">
        <x:f>IF(R$4&lt;Assumptions!$B$19,0,IF(R32&lt;=500,R43*44059/288080,MAX(0,44059*((R32/500)^Assumptions!$B$98)-(R36))))</x:f>
        <x:v>44871.89631793221</x:v>
      </x:c>
      <x:c r="S46" s="455" t="n">
        <x:f>IF(S$4&lt;Assumptions!$B$19,0,IF(S32&lt;=500,S43*44059/288080,MAX(0,44059*((S32/500)^Assumptions!$B$98)-(S36))))</x:f>
        <x:v>55446.41126571235</x:v>
      </x:c>
      <x:c r="T46" s="455" t="n">
        <x:f>IF(T$4&lt;Assumptions!$B$19,0,IF(T32&lt;=500,T43*44059/288080,MAX(0,44059*((T32/500)^Assumptions!$B$98)-(T36))))</x:f>
        <x:v>55446.41126571235</x:v>
      </x:c>
      <x:c r="U46" s="455" t="n">
        <x:f>IF(U$4&lt;Assumptions!$B$19,0,IF(U32&lt;=500,U43*44059/288080,MAX(0,44059*((U32/500)^Assumptions!$B$98)-(U36))))</x:f>
        <x:v>69566.07082353349</x:v>
      </x:c>
      <x:c r="V46" s="455" t="n">
        <x:f>IF(V$4&lt;Assumptions!$B$19,0,IF(V32&lt;=500,V43*44059/288080,MAX(0,44059*((V32/500)^Assumptions!$B$98)-(V36))))</x:f>
        <x:v>69566.07082353349</x:v>
      </x:c>
    </x:row>
    <x:row r="47">
      <x:c r="A47" s="61" t="str">
        <x:v>Additional legal / commercial / licences</x:v>
      </x:c>
      <x:c r="B47" s="455" t="n">
        <x:f>IF(B$4&lt;Assumptions!$B$19,0,IF(B32&lt;=500,B43*27113/288080,MAX(0,27113*((B32/500)^Assumptions!$B$100)-(B38+B40))))</x:f>
        <x:v>0</x:v>
      </x:c>
      <x:c r="C47" s="455" t="n">
        <x:f>IF(C$4&lt;Assumptions!$B$19,0,IF(C32&lt;=500,C43*27113/288080,MAX(0,27113*((C32/500)^Assumptions!$B$100)-(C38+C40))))</x:f>
        <x:v>0</x:v>
      </x:c>
      <x:c r="D47" s="455" t="n">
        <x:f>IF(D$4&lt;Assumptions!$B$19,0,IF(D32&lt;=500,D43*27113/288080,MAX(0,27113*((D32/500)^Assumptions!$B$100)-(D38+D40))))</x:f>
        <x:v>0</x:v>
      </x:c>
      <x:c r="E47" s="455" t="n">
        <x:f>IF(E$4&lt;Assumptions!$B$19,0,IF(E32&lt;=500,E43*27113/288080,MAX(0,27113*((E32/500)^Assumptions!$B$100)-(E38+E40))))</x:f>
        <x:v>0</x:v>
      </x:c>
      <x:c r="F47" s="455" t="n">
        <x:f>IF(F$4&lt;Assumptions!$B$19,0,IF(F32&lt;=500,F43*27113/288080,MAX(0,27113*((F32/500)^Assumptions!$B$100)-(F38+F40))))</x:f>
        <x:v>0</x:v>
      </x:c>
      <x:c r="G47" s="455" t="n">
        <x:f>IF(G$4&lt;Assumptions!$B$19,0,IF(G32&lt;=500,G43*27113/288080,MAX(0,27113*((G32/500)^Assumptions!$B$100)-(G38+G40))))</x:f>
        <x:v>0</x:v>
      </x:c>
      <x:c r="H47" s="455" t="n">
        <x:f>IF(H$4&lt;Assumptions!$B$19,0,IF(H32&lt;=500,H43*27113/288080,MAX(0,27113*((H32/500)^Assumptions!$B$100)-(H38+H40))))</x:f>
        <x:v>0</x:v>
      </x:c>
      <x:c r="I47" s="455" t="n">
        <x:f>IF(I$4&lt;Assumptions!$B$19,0,IF(I32&lt;=500,I43*27113/288080,MAX(0,27113*((I32/500)^Assumptions!$B$100)-(I38+I40))))</x:f>
        <x:v>0</x:v>
      </x:c>
      <x:c r="J47" s="455" t="n">
        <x:f>IF(J$4&lt;Assumptions!$B$19,0,IF(J32&lt;=500,J43*27113/288080,MAX(0,27113*((J32/500)^Assumptions!$B$100)-(J38+J40))))</x:f>
        <x:v>0</x:v>
      </x:c>
      <x:c r="K47" s="455" t="n">
        <x:f>IF(K$4&lt;Assumptions!$B$19,0,IF(K32&lt;=500,K43*27113/288080,MAX(0,27113*((K32/500)^Assumptions!$B$100)-(K38+K40))))</x:f>
        <x:v>0</x:v>
      </x:c>
      <x:c r="L47" s="455" t="n">
        <x:f>IF(L$4&lt;Assumptions!$B$19,0,IF(L32&lt;=500,L43*27113/288080,MAX(0,27113*((L32/500)^Assumptions!$B$100)-(L38+L40))))</x:f>
        <x:v>0</x:v>
      </x:c>
      <x:c r="M47" s="455" t="n">
        <x:f>IF(M$4&lt;Assumptions!$B$19,0,IF(M32&lt;=500,M43*27113/288080,MAX(0,27113*((M32/500)^Assumptions!$B$100)-(M38+M40))))</x:f>
        <x:v>0</x:v>
      </x:c>
      <x:c r="N47" s="455" t="n">
        <x:f>IF(N$4&lt;Assumptions!$B$19,0,IF(N32&lt;=500,N43*27113/288080,MAX(0,27113*((N32/500)^Assumptions!$B$100)-(N38+N40))))</x:f>
        <x:v>4169.348444876423</x:v>
      </x:c>
      <x:c r="O47" s="455" t="n">
        <x:f>IF(O$4&lt;Assumptions!$B$19,0,IF(O32&lt;=500,O43*27113/288080,MAX(0,27113*((O32/500)^Assumptions!$B$100)-(O38+O40))))</x:f>
        <x:v>8875.15933074146</x:v>
      </x:c>
      <x:c r="P47" s="455" t="n">
        <x:f>IF(P$4&lt;Assumptions!$B$19,0,IF(P32&lt;=500,P43*27113/288080,MAX(0,27113*((P32/500)^Assumptions!$B$100)-(P38+P40))))</x:f>
        <x:v>15463.294570952514</x:v>
      </x:c>
      <x:c r="Q47" s="455" t="n">
        <x:f>IF(Q$4&lt;Assumptions!$B$19,0,IF(Q32&lt;=500,Q43*27113/288080,MAX(0,27113*((Q32/500)^Assumptions!$B$100)-(Q38+Q40))))</x:f>
        <x:v>24967.161354274052</x:v>
      </x:c>
      <x:c r="R47" s="455" t="n">
        <x:f>IF(R$4&lt;Assumptions!$B$19,0,IF(R32&lt;=500,R43*27113/288080,MAX(0,27113*((R32/500)^Assumptions!$B$100)-(R38+R40))))</x:f>
        <x:v>24967.161354274052</x:v>
      </x:c>
      <x:c r="S47" s="455" t="n">
        <x:f>IF(S$4&lt;Assumptions!$B$19,0,IF(S32&lt;=500,S43*27113/288080,MAX(0,27113*((S32/500)^Assumptions!$B$100)-(S38+S40))))</x:f>
        <x:v>29805.609608967796</x:v>
      </x:c>
      <x:c r="T47" s="455" t="n">
        <x:f>IF(T$4&lt;Assumptions!$B$19,0,IF(T32&lt;=500,T43*27113/288080,MAX(0,27113*((T32/500)^Assumptions!$B$100)-(T38+T40))))</x:f>
        <x:v>29805.609608967796</x:v>
      </x:c>
      <x:c r="U47" s="455" t="n">
        <x:f>IF(U$4&lt;Assumptions!$B$19,0,IF(U32&lt;=500,U43*27113/288080,MAX(0,27113*((U32/500)^Assumptions!$B$100)-(U38+U40))))</x:f>
        <x:v>35952.23848787128</x:v>
      </x:c>
      <x:c r="V47" s="455" t="n">
        <x:f>IF(V$4&lt;Assumptions!$B$19,0,IF(V32&lt;=500,V43*27113/288080,MAX(0,27113*((V32/500)^Assumptions!$B$100)-(V38+V40))))</x:f>
        <x:v>35952.23848787128</x:v>
      </x:c>
    </x:row>
    <x:row r="48">
      <x:c r="A48" s="61" t="str">
        <x:v>Brand / launch / sales operations</x:v>
      </x:c>
      <x:c r="B48" s="455" t="n">
        <x:f>IF(B$4&lt;Assumptions!$B$19,0,IF(B32&lt;=500,B43*40670/288080,MAX(0,40670*((B32/500)^Assumptions!$B$101)-(0))))</x:f>
        <x:v>0</x:v>
      </x:c>
      <x:c r="C48" s="455" t="n">
        <x:f>IF(C$4&lt;Assumptions!$B$19,0,IF(C32&lt;=500,C43*40670/288080,MAX(0,40670*((C32/500)^Assumptions!$B$101)-(0))))</x:f>
        <x:v>0</x:v>
      </x:c>
      <x:c r="D48" s="455" t="n">
        <x:f>IF(D$4&lt;Assumptions!$B$19,0,IF(D32&lt;=500,D43*40670/288080,MAX(0,40670*((D32/500)^Assumptions!$B$101)-(0))))</x:f>
        <x:v>0</x:v>
      </x:c>
      <x:c r="E48" s="455" t="n">
        <x:f>IF(E$4&lt;Assumptions!$B$19,0,IF(E32&lt;=500,E43*40670/288080,MAX(0,40670*((E32/500)^Assumptions!$B$101)-(0))))</x:f>
        <x:v>0</x:v>
      </x:c>
      <x:c r="F48" s="455" t="n">
        <x:f>IF(F$4&lt;Assumptions!$B$19,0,IF(F32&lt;=500,F43*40670/288080,MAX(0,40670*((F32/500)^Assumptions!$B$101)-(0))))</x:f>
        <x:v>0</x:v>
      </x:c>
      <x:c r="G48" s="455" t="n">
        <x:f>IF(G$4&lt;Assumptions!$B$19,0,IF(G32&lt;=500,G43*40670/288080,MAX(0,40670*((G32/500)^Assumptions!$B$101)-(0))))</x:f>
        <x:v>0</x:v>
      </x:c>
      <x:c r="H48" s="455" t="n">
        <x:f>IF(H$4&lt;Assumptions!$B$19,0,IF(H32&lt;=500,H43*40670/288080,MAX(0,40670*((H32/500)^Assumptions!$B$101)-(0))))</x:f>
        <x:v>0</x:v>
      </x:c>
      <x:c r="I48" s="455" t="n">
        <x:f>IF(I$4&lt;Assumptions!$B$19,0,IF(I32&lt;=500,I43*40670/288080,MAX(0,40670*((I32/500)^Assumptions!$B$101)-(0))))</x:f>
        <x:v>0</x:v>
      </x:c>
      <x:c r="J48" s="455" t="n">
        <x:f>IF(J$4&lt;Assumptions!$B$19,0,IF(J32&lt;=500,J43*40670/288080,MAX(0,40670*((J32/500)^Assumptions!$B$101)-(0))))</x:f>
        <x:v>0</x:v>
      </x:c>
      <x:c r="K48" s="455" t="n">
        <x:f>IF(K$4&lt;Assumptions!$B$19,0,IF(K32&lt;=500,K43*40670/288080,MAX(0,40670*((K32/500)^Assumptions!$B$101)-(0))))</x:f>
        <x:v>0</x:v>
      </x:c>
      <x:c r="L48" s="455" t="n">
        <x:f>IF(L$4&lt;Assumptions!$B$19,0,IF(L32&lt;=500,L43*40670/288080,MAX(0,40670*((L32/500)^Assumptions!$B$101)-(0))))</x:f>
        <x:v>0</x:v>
      </x:c>
      <x:c r="M48" s="455" t="n">
        <x:f>IF(M$4&lt;Assumptions!$B$19,0,IF(M32&lt;=500,M43*40670/288080,MAX(0,40670*((M32/500)^Assumptions!$B$101)-(0))))</x:f>
        <x:v>0</x:v>
      </x:c>
      <x:c r="N48" s="455" t="n">
        <x:f>IF(N$4&lt;Assumptions!$B$19,0,IF(N32&lt;=500,N43*40670/288080,MAX(0,40670*((N32/500)^Assumptions!$B$101)-(0))))</x:f>
        <x:v>6254.0995556789785</x:v>
      </x:c>
      <x:c r="O48" s="455" t="n">
        <x:f>IF(O$4&lt;Assumptions!$B$19,0,IF(O32&lt;=500,O43*40670/288080,MAX(0,40670*((O32/500)^Assumptions!$B$101)-(0))))</x:f>
        <x:v>13312.90266592613</x:v>
      </x:c>
      <x:c r="P48" s="455" t="n">
        <x:f>IF(P$4&lt;Assumptions!$B$19,0,IF(P32&lt;=500,P43*40670/288080,MAX(0,40670*((P32/500)^Assumptions!$B$101)-(0))))</x:f>
        <x:v>23195.22702027215</x:v>
      </x:c>
      <x:c r="Q48" s="455" t="n">
        <x:f>IF(Q$4&lt;Assumptions!$B$19,0,IF(Q32&lt;=500,Q43*40670/288080,MAX(0,40670*((Q32/500)^Assumptions!$B$101)-(0))))</x:f>
        <x:v>42212.31294665874</x:v>
      </x:c>
      <x:c r="R48" s="455" t="n">
        <x:f>IF(R$4&lt;Assumptions!$B$19,0,IF(R32&lt;=500,R43*40670/288080,MAX(0,40670*((R32/500)^Assumptions!$B$101)-(0))))</x:f>
        <x:v>42212.31294665874</x:v>
      </x:c>
      <x:c r="S48" s="455" t="n">
        <x:f>IF(S$4&lt;Assumptions!$B$19,0,IF(S32&lt;=500,S43*40670/288080,MAX(0,40670*((S32/500)^Assumptions!$B$101)-(0))))</x:f>
        <x:v>51120.93852955569</x:v>
      </x:c>
      <x:c r="T48" s="455" t="n">
        <x:f>IF(T$4&lt;Assumptions!$B$19,0,IF(T32&lt;=500,T43*40670/288080,MAX(0,40670*((T32/500)^Assumptions!$B$101)-(0))))</x:f>
        <x:v>51120.93852955569</x:v>
      </x:c>
      <x:c r="U48" s="455" t="n">
        <x:f>IF(U$4&lt;Assumptions!$B$19,0,IF(U32&lt;=500,U43*40670/288080,MAX(0,40670*((U32/500)^Assumptions!$B$101)-(0))))</x:f>
        <x:v>62820.297414469605</x:v>
      </x:c>
      <x:c r="V48" s="455" t="n">
        <x:f>IF(V$4&lt;Assumptions!$B$19,0,IF(V32&lt;=500,V43*40670/288080,MAX(0,40670*((V32/500)^Assumptions!$B$101)-(0))))</x:f>
        <x:v>62820.297414469605</x:v>
      </x:c>
    </x:row>
    <x:row r="49">
      <x:c r="A49" s="61" t="str">
        <x:v>Scale-up subtotal</x:v>
      </x:c>
      <x:c r="B49" s="455" t="n">
        <x:f>SUM(B44:B48)</x:f>
        <x:v>0</x:v>
      </x:c>
      <x:c r="C49" s="455" t="n">
        <x:f>SUM(C44:C48)</x:f>
        <x:v>0</x:v>
      </x:c>
      <x:c r="D49" s="455" t="n">
        <x:f>SUM(D44:D48)</x:f>
        <x:v>0</x:v>
      </x:c>
      <x:c r="E49" s="455" t="n">
        <x:f>SUM(E44:E48)</x:f>
        <x:v>0</x:v>
      </x:c>
      <x:c r="F49" s="455" t="n">
        <x:f>SUM(F44:F48)</x:f>
        <x:v>0</x:v>
      </x:c>
      <x:c r="G49" s="455" t="n">
        <x:f>SUM(G44:G48)</x:f>
        <x:v>0</x:v>
      </x:c>
      <x:c r="H49" s="455" t="n">
        <x:f>SUM(H44:H48)</x:f>
        <x:v>0</x:v>
      </x:c>
      <x:c r="I49" s="455" t="n">
        <x:f>SUM(I44:I48)</x:f>
        <x:v>0</x:v>
      </x:c>
      <x:c r="J49" s="455" t="n">
        <x:f>SUM(J44:J48)</x:f>
        <x:v>0</x:v>
      </x:c>
      <x:c r="K49" s="455" t="n">
        <x:f>SUM(K44:K48)</x:f>
        <x:v>0</x:v>
      </x:c>
      <x:c r="L49" s="455" t="n">
        <x:f>SUM(L44:L48)</x:f>
        <x:v>0</x:v>
      </x:c>
      <x:c r="M49" s="455" t="n">
        <x:f>SUM(M44:M48)</x:f>
        <x:v>0</x:v>
      </x:c>
      <x:c r="N49" s="455" t="n">
        <x:f>SUM(N44:N48)</x:f>
        <x:v>44300</x:v>
      </x:c>
      <x:c r="O49" s="455" t="n">
        <x:f>SUM(O44:O48)</x:f>
        <x:v>94300</x:v>
      </x:c>
      <x:c r="P49" s="455" t="n">
        <x:f>SUM(P44:P48)</x:f>
        <x:v>164300</x:v>
      </x:c>
      <x:c r="Q49" s="455" t="n">
        <x:f>SUM(Q44:Q48)</x:f>
        <x:v>286767.2399395251</x:v>
      </x:c>
      <x:c r="R49" s="455" t="n">
        <x:f>SUM(R44:R48)</x:f>
        <x:v>286767.2399395251</x:v>
      </x:c>
      <x:c r="S49" s="455" t="n">
        <x:f>SUM(S44:S48)</x:f>
        <x:v>374075.4228844533</x:v>
      </x:c>
      <x:c r="T49" s="455" t="n">
        <x:f>SUM(T44:T48)</x:f>
        <x:v>374075.4228844533</x:v>
      </x:c>
      <x:c r="U49" s="455" t="n">
        <x:f>SUM(U44:U48)</x:f>
        <x:v>499132.12633281323</x:v>
      </x:c>
      <x:c r="V49" s="455" t="n">
        <x:f>SUM(V44:V48)</x:f>
        <x:v>499132.12633281323</x:v>
      </x:c>
    </x:row>
    <x:row r="50">
      <x:c r="A50" s="61" t="str">
        <x:v>Other / contingency fixed OPEX</x:v>
      </x:c>
      <x:c r="B50" s="455" t="n">
        <x:f>B33*0</x:f>
        <x:v>0</x:v>
      </x:c>
      <x:c r="C50" s="455" t="n">
        <x:f>C33*0</x:f>
        <x:v>0</x:v>
      </x:c>
      <x:c r="D50" s="455" t="n">
        <x:f>D33*0</x:f>
        <x:v>0</x:v>
      </x:c>
      <x:c r="E50" s="455" t="n">
        <x:f>E33*0</x:f>
        <x:v>0</x:v>
      </x:c>
      <x:c r="F50" s="455" t="n">
        <x:f>F33*0</x:f>
        <x:v>0</x:v>
      </x:c>
      <x:c r="G50" s="455" t="n">
        <x:f>G33*0</x:f>
        <x:v>0</x:v>
      </x:c>
      <x:c r="H50" s="455" t="n">
        <x:f>H33*0</x:f>
        <x:v>0</x:v>
      </x:c>
      <x:c r="I50" s="455" t="n">
        <x:f>I33*0</x:f>
        <x:v>0</x:v>
      </x:c>
      <x:c r="J50" s="455" t="n">
        <x:f>J33*0</x:f>
        <x:v>0</x:v>
      </x:c>
      <x:c r="K50" s="455" t="n">
        <x:f>K33*0</x:f>
        <x:v>0</x:v>
      </x:c>
      <x:c r="L50" s="455" t="n">
        <x:f>L33*0</x:f>
        <x:v>0</x:v>
      </x:c>
      <x:c r="M50" s="455" t="n">
        <x:f>M33*0</x:f>
        <x:v>0</x:v>
      </x:c>
      <x:c r="N50" s="455" t="n">
        <x:f>N33*0</x:f>
        <x:v>0</x:v>
      </x:c>
      <x:c r="O50" s="455" t="n">
        <x:f>O33*0</x:f>
        <x:v>0</x:v>
      </x:c>
      <x:c r="P50" s="455" t="n">
        <x:f>P33*0</x:f>
        <x:v>0</x:v>
      </x:c>
      <x:c r="Q50" s="455" t="n">
        <x:f>Q33*0</x:f>
        <x:v>0</x:v>
      </x:c>
      <x:c r="R50" s="455" t="n">
        <x:f>R33*0</x:f>
        <x:v>0</x:v>
      </x:c>
      <x:c r="S50" s="455" t="n">
        <x:f>S33*0</x:f>
        <x:v>0</x:v>
      </x:c>
      <x:c r="T50" s="455" t="n">
        <x:f>T33*0</x:f>
        <x:v>0</x:v>
      </x:c>
      <x:c r="U50" s="455" t="n">
        <x:f>U33*0</x:f>
        <x:v>0</x:v>
      </x:c>
      <x:c r="V50" s="455" t="n">
        <x:f>V33*0</x:f>
        <x:v>0</x:v>
      </x:c>
    </x:row>
    <x:row r="51">
      <x:c r="A51" s="456" t="str">
        <x:v>TOTAL PERSONNEL &amp; FIXED OPEX</x:v>
      </x:c>
      <x:c r="B51" s="457" t="n">
        <x:f>B41+B49+B50</x:f>
        <x:v>0</x:v>
      </x:c>
      <x:c r="C51" s="457" t="n">
        <x:f>C41+C49+C50</x:f>
        <x:v>15700</x:v>
      </x:c>
      <x:c r="D51" s="457" t="n">
        <x:f>D41+D49+D50</x:f>
        <x:v>15700</x:v>
      </x:c>
      <x:c r="E51" s="457" t="n">
        <x:f>E41+E49+E50</x:f>
        <x:v>15700</x:v>
      </x:c>
      <x:c r="F51" s="457" t="n">
        <x:f>F41+F49+F50</x:f>
        <x:v>15700</x:v>
      </x:c>
      <x:c r="G51" s="457" t="n">
        <x:f>G41+G49+G50</x:f>
        <x:v>15700</x:v>
      </x:c>
      <x:c r="H51" s="457" t="n">
        <x:f>H41+H49+H50</x:f>
        <x:v>15700</x:v>
      </x:c>
      <x:c r="I51" s="457" t="n">
        <x:f>I41+I49+I50</x:f>
        <x:v>15700</x:v>
      </x:c>
      <x:c r="J51" s="457" t="n">
        <x:f>J41+J49+J50</x:f>
        <x:v>15700</x:v>
      </x:c>
      <x:c r="K51" s="457" t="n">
        <x:f>K41+K49+K50</x:f>
        <x:v>15700</x:v>
      </x:c>
      <x:c r="L51" s="457" t="n">
        <x:f>L41+L49+L50</x:f>
        <x:v>15700</x:v>
      </x:c>
      <x:c r="M51" s="457" t="n">
        <x:f>M41+M49+M50</x:f>
        <x:v>15700</x:v>
      </x:c>
      <x:c r="N51" s="457" t="n">
        <x:f>N41+N49+N50</x:f>
        <x:v>60000</x:v>
      </x:c>
      <x:c r="O51" s="457" t="n">
        <x:f>O41+O49+O50</x:f>
        <x:v>110000</x:v>
      </x:c>
      <x:c r="P51" s="457" t="n">
        <x:f>P41+P49+P50</x:f>
        <x:v>180000</x:v>
      </x:c>
      <x:c r="Q51" s="457" t="n">
        <x:f>Q41+Q49+Q50</x:f>
        <x:v>302467.2399395251</x:v>
      </x:c>
      <x:c r="R51" s="457" t="n">
        <x:f>R41+R49+R50</x:f>
        <x:v>302467.2399395251</x:v>
      </x:c>
      <x:c r="S51" s="457" t="n">
        <x:f>S41+S49+S50</x:f>
        <x:v>389775.4228844533</x:v>
      </x:c>
      <x:c r="T51" s="457" t="n">
        <x:f>T41+T49+T50</x:f>
        <x:v>389775.4228844533</x:v>
      </x:c>
      <x:c r="U51" s="457" t="n">
        <x:f>U41+U49+U50</x:f>
        <x:v>514832.12633281323</x:v>
      </x:c>
      <x:c r="V51" s="457" t="n">
        <x:f>V41+V49+V50</x:f>
        <x:v>514832.12633281323</x:v>
      </x:c>
    </x:row>
    <x:row r="52">
      <x:c r="A52" s="61"/>
      <x:c r="B52" s="61"/>
      <x:c r="C52" s="61"/>
      <x:c r="D52" s="61"/>
      <x:c r="E52" s="61"/>
      <x:c r="F52" s="61"/>
      <x:c r="G52" s="61"/>
      <x:c r="H52" s="61"/>
      <x:c r="I52" s="61"/>
      <x:c r="J52" s="61"/>
      <x:c r="K52" s="61"/>
      <x:c r="L52" s="61"/>
      <x:c r="M52" s="61"/>
      <x:c r="N52" s="61"/>
      <x:c r="O52" s="61"/>
      <x:c r="P52" s="61"/>
      <x:c r="Q52" s="61"/>
      <x:c r="R52" s="61"/>
      <x:c r="S52" s="61"/>
      <x:c r="T52" s="61"/>
      <x:c r="U52" s="61"/>
      <x:c r="V52" s="61"/>
    </x:row>
    <x:row r="53">
      <x:c r="A53" s="61"/>
      <x:c r="B53" s="61"/>
      <x:c r="C53" s="61"/>
      <x:c r="D53" s="61"/>
      <x:c r="E53" s="61"/>
      <x:c r="F53" s="61"/>
      <x:c r="G53" s="61"/>
      <x:c r="H53" s="61"/>
      <x:c r="I53" s="61"/>
      <x:c r="J53" s="61"/>
      <x:c r="K53" s="61"/>
      <x:c r="L53" s="61"/>
      <x:c r="M53" s="61"/>
      <x:c r="N53" s="61"/>
      <x:c r="O53" s="61"/>
      <x:c r="P53" s="61"/>
      <x:c r="Q53" s="61"/>
      <x:c r="R53" s="61"/>
      <x:c r="S53" s="61"/>
      <x:c r="T53" s="61"/>
      <x:c r="U53" s="61"/>
      <x:c r="V53" s="61"/>
    </x:row>
    <x:row r="54">
      <x:c r="A54" s="61"/>
      <x:c r="B54" s="61"/>
      <x:c r="C54" s="61"/>
      <x:c r="D54" s="61"/>
      <x:c r="E54" s="61"/>
      <x:c r="F54" s="61"/>
      <x:c r="G54" s="61"/>
      <x:c r="H54" s="61"/>
      <x:c r="I54" s="61"/>
      <x:c r="J54" s="61"/>
      <x:c r="K54" s="61"/>
      <x:c r="L54" s="61"/>
      <x:c r="M54" s="61"/>
      <x:c r="N54" s="61"/>
      <x:c r="O54" s="61"/>
      <x:c r="P54" s="61"/>
      <x:c r="Q54" s="61"/>
      <x:c r="R54" s="61"/>
      <x:c r="S54" s="61"/>
      <x:c r="T54" s="61"/>
      <x:c r="U54" s="61"/>
      <x:c r="V54" s="61"/>
    </x:row>
    <x:row r="55">
      <x:c r="A55" s="61"/>
      <x:c r="B55" s="61"/>
      <x:c r="C55" s="61"/>
      <x:c r="D55" s="61"/>
      <x:c r="E55" s="61"/>
      <x:c r="F55" s="61"/>
      <x:c r="G55" s="61"/>
      <x:c r="H55" s="61"/>
      <x:c r="I55" s="61"/>
      <x:c r="J55" s="61"/>
      <x:c r="K55" s="61"/>
      <x:c r="L55" s="61"/>
      <x:c r="M55" s="61"/>
      <x:c r="N55" s="61"/>
      <x:c r="O55" s="61"/>
      <x:c r="P55" s="61"/>
      <x:c r="Q55" s="61"/>
      <x:c r="R55" s="61"/>
      <x:c r="S55" s="61"/>
      <x:c r="T55" s="61"/>
      <x:c r="U55" s="61"/>
      <x:c r="V55" s="61"/>
    </x:row>
    <x:row r="56">
      <x:c r="A56" s="453" t="str">
        <x:v>500-MACHINE MATURE REFERENCE — SOURCE COST ENVELOPES</x:v>
      </x:c>
      <x:c r="B56" s="453"/>
      <x:c r="C56" s="453"/>
      <x:c r="D56" s="453"/>
      <x:c r="E56" s="453"/>
      <x:c r="F56" s="453"/>
      <x:c r="G56" s="453"/>
      <x:c r="H56" s="453"/>
      <x:c r="I56" s="61"/>
      <x:c r="J56" s="61"/>
      <x:c r="K56" s="61"/>
      <x:c r="L56" s="61"/>
      <x:c r="M56" s="61"/>
      <x:c r="N56" s="61"/>
      <x:c r="O56" s="61"/>
      <x:c r="P56" s="61"/>
      <x:c r="Q56" s="61"/>
      <x:c r="R56" s="61"/>
      <x:c r="S56" s="61"/>
      <x:c r="T56" s="61"/>
      <x:c r="U56" s="61"/>
      <x:c r="V56" s="61"/>
    </x:row>
    <x:row r="57">
      <x:c r="A57" s="458" t="str">
        <x:v>Cost envelope</x:v>
      </x:c>
      <x:c r="B57" s="458" t="str">
        <x:v>Monthly amount</x:v>
      </x:c>
      <x:c r="C57" s="458" t="str">
        <x:v>Treatment</x:v>
      </x:c>
      <x:c r="D57" s="61"/>
      <x:c r="E57" s="458" t="str">
        <x:v>Reference item</x:v>
      </x:c>
      <x:c r="F57" s="458" t="str">
        <x:v>Amount</x:v>
      </x:c>
      <x:c r="G57" s="458" t="str">
        <x:v>Treatment</x:v>
      </x:c>
      <x:c r="H57" s="458" t="str">
        <x:v>Reason</x:v>
      </x:c>
      <x:c r="I57" s="61"/>
      <x:c r="J57" s="61"/>
      <x:c r="K57" s="61"/>
      <x:c r="L57" s="61"/>
      <x:c r="M57" s="61"/>
      <x:c r="N57" s="61"/>
      <x:c r="O57" s="61"/>
      <x:c r="P57" s="61"/>
      <x:c r="Q57" s="61"/>
      <x:c r="R57" s="61"/>
      <x:c r="S57" s="61"/>
      <x:c r="T57" s="61"/>
      <x:c r="U57" s="61"/>
      <x:c r="V57" s="61"/>
    </x:row>
    <x:row r="58">
      <x:c r="A58" s="61" t="str">
        <x:v>Headcount &amp; field operations</x:v>
      </x:c>
      <x:c r="B58" s="455" t="n">
        <x:v>142346</x:v>
      </x:c>
      <x:c r="C58" s="61" t="str">
        <x:v>Scales post-500</x:v>
      </x:c>
      <x:c r="D58" s="61"/>
      <x:c r="E58" s="61" t="str">
        <x:v>Internal logistics / warehouse / routes</x:v>
      </x:c>
      <x:c r="F58" s="455" t="n">
        <x:v>50838</x:v>
      </x:c>
      <x:c r="G58" s="61" t="str">
        <x:v>Excluded</x:v>
      </x:c>
      <x:c r="H58" s="61" t="str">
        <x:v>Do not add while 7% outsourced logistics remains active.</x:v>
      </x:c>
      <x:c r="I58" s="61"/>
      <x:c r="J58" s="61"/>
      <x:c r="K58" s="61"/>
      <x:c r="L58" s="61"/>
      <x:c r="M58" s="61"/>
      <x:c r="N58" s="61"/>
      <x:c r="O58" s="61"/>
      <x:c r="P58" s="61"/>
      <x:c r="Q58" s="61"/>
      <x:c r="R58" s="61"/>
      <x:c r="S58" s="61"/>
      <x:c r="T58" s="61"/>
      <x:c r="U58" s="61"/>
      <x:c r="V58" s="61"/>
    </x:row>
    <x:row r="59">
      <x:c r="A59" s="61" t="str">
        <x:v>Insurance, permits, finance &amp; admin</x:v>
      </x:c>
      <x:c r="B59" s="455" t="n">
        <x:v>33892</x:v>
      </x:c>
      <x:c r="C59" s="61" t="str">
        <x:v>Scales post-500</x:v>
      </x:c>
      <x:c r="D59" s="61"/>
      <x:c r="E59" s="61" t="str">
        <x:v>Lean fixed OPEX</x:v>
      </x:c>
      <x:c r="F59" s="455" t="n">
        <x:v>15700</x:v>
      </x:c>
      <x:c r="G59" s="61" t="str">
        <x:v>Included</x:v>
      </x:c>
      <x:c r="H59" s="61" t="str">
        <x:v>Source-backed operating floor.</x:v>
      </x:c>
      <x:c r="I59" s="61"/>
      <x:c r="J59" s="61"/>
      <x:c r="K59" s="61"/>
      <x:c r="L59" s="61"/>
      <x:c r="M59" s="61"/>
      <x:c r="N59" s="61"/>
      <x:c r="O59" s="61"/>
      <x:c r="P59" s="61"/>
      <x:c r="Q59" s="61"/>
      <x:c r="R59" s="61"/>
      <x:c r="S59" s="61"/>
      <x:c r="T59" s="61"/>
      <x:c r="U59" s="61"/>
      <x:c r="V59" s="61"/>
    </x:row>
    <x:row r="60">
      <x:c r="A60" s="61" t="str">
        <x:v>NEXUS, technology, cloud &amp; data</x:v>
      </x:c>
      <x:c r="B60" s="455" t="n">
        <x:v>44059</x:v>
      </x:c>
      <x:c r="C60" s="61" t="str">
        <x:v>Scales post-500</x:v>
      </x:c>
      <x:c r="D60" s="61"/>
      <x:c r="E60" s="61" t="str">
        <x:v>Mature fixed OPEX excluding internal logistics</x:v>
      </x:c>
      <x:c r="F60" s="455" t="n">
        <x:v>288080</x:v>
      </x:c>
      <x:c r="G60" s="61" t="str">
        <x:v>Included</x:v>
      </x:c>
      <x:c r="H60" s="61" t="str">
        <x:v>500-machine anchor before post-500 scaling.</x:v>
      </x:c>
      <x:c r="I60" s="61"/>
      <x:c r="J60" s="61"/>
      <x:c r="K60" s="61"/>
      <x:c r="L60" s="61"/>
      <x:c r="M60" s="61"/>
      <x:c r="N60" s="61"/>
      <x:c r="O60" s="61"/>
      <x:c r="P60" s="61"/>
      <x:c r="Q60" s="61"/>
      <x:c r="R60" s="61"/>
      <x:c r="S60" s="61"/>
      <x:c r="T60" s="61"/>
      <x:c r="U60" s="61"/>
      <x:c r="V60" s="61"/>
    </x:row>
    <x:row r="61">
      <x:c r="A61" s="61" t="str">
        <x:v>Legal, commercial &amp; licences</x:v>
      </x:c>
      <x:c r="B61" s="455" t="n">
        <x:v>27113</x:v>
      </x:c>
      <x:c r="C61" s="61" t="str">
        <x:v>Scales post-500</x:v>
      </x:c>
      <x:c r="D61" s="61"/>
      <x:c r="E61" s="61" t="str">
        <x:v>Mature total incl. internal logistics</x:v>
      </x:c>
      <x:c r="F61" s="455" t="n">
        <x:v>338918</x:v>
      </x:c>
      <x:c r="G61" s="61" t="str">
        <x:v>Reference only</x:v>
      </x:c>
      <x:c r="H61" s="61" t="str">
        <x:v>Would replace 7% outsourced logistics if logistics is internalised.</x:v>
      </x:c>
      <x:c r="I61" s="61"/>
      <x:c r="J61" s="61"/>
      <x:c r="K61" s="61"/>
      <x:c r="L61" s="61"/>
      <x:c r="M61" s="61"/>
      <x:c r="N61" s="61"/>
      <x:c r="O61" s="61"/>
      <x:c r="P61" s="61"/>
      <x:c r="Q61" s="61"/>
      <x:c r="R61" s="61"/>
      <x:c r="S61" s="61"/>
      <x:c r="T61" s="61"/>
      <x:c r="U61" s="61"/>
      <x:c r="V61" s="61"/>
    </x:row>
    <x:row r="62">
      <x:c r="A62" s="61" t="str">
        <x:v>Brand, launch &amp; sales operations</x:v>
      </x:c>
      <x:c r="B62" s="455" t="n">
        <x:v>40670</x:v>
      </x:c>
      <x:c r="C62" s="61" t="str">
        <x:v>Scales post-500</x:v>
      </x:c>
      <x:c r="D62" s="61"/>
      <x:c r="E62" s="61" t="str">
        <x:v>Post-500 scaling</x:v>
      </x:c>
      <x:c r="F62" s="61" t="str">
        <x:v>By category</x:v>
      </x:c>
      <x:c r="G62" s="61" t="str">
        <x:v>Included</x:v>
      </x:c>
      <x:c r="H62" s="61" t="str">
        <x:v>Prevents OPEX remaining artificially flat above 500 machines.</x:v>
      </x:c>
      <x:c r="I62" s="61"/>
      <x:c r="J62" s="61"/>
      <x:c r="K62" s="61"/>
      <x:c r="L62" s="61"/>
      <x:c r="M62" s="61"/>
      <x:c r="N62" s="61"/>
      <x:c r="O62" s="61"/>
      <x:c r="P62" s="61"/>
      <x:c r="Q62" s="61"/>
      <x:c r="R62" s="61"/>
      <x:c r="S62" s="61"/>
      <x:c r="T62" s="61"/>
      <x:c r="U62" s="61"/>
      <x:c r="V62" s="61"/>
    </x:row>
  </x:sheetData>
  <x:mergeCells>
    <x:mergeCell ref="A1:V1"/>
    <x:mergeCell ref="A2:V2"/>
    <x:mergeCell ref="A6:V6"/>
    <x:mergeCell ref="A31:V31"/>
    <x:mergeCell ref="A56:H56"/>
  </x:mergeCells>
  <x:pageMargins left="0.7" right="0.7" top="0.75" bottom="0.75" header="0.3" footer="0.3"/>
</x:worksheet>
</file>

<file path=xl/worksheets/sheet10.xml><?xml version="1.0" encoding="utf-8"?>
<x:worksheet xmlns:x="http://schemas.openxmlformats.org/spreadsheetml/2006/main">
  <x:sheetFormatPr defaultRowHeight="15"/>
  <x:cols>
    <x:col min="1" max="1" width="38" hidden="0" customWidth="1"/>
    <x:col min="2" max="2" width="11" hidden="0" customWidth="1"/>
    <x:col min="3" max="3" width="11" hidden="0" customWidth="1"/>
    <x:col min="4" max="4" width="54"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 min="19" max="19" width="11" hidden="0" customWidth="1"/>
    <x:col min="20" max="20" width="11" hidden="0" customWidth="1"/>
    <x:col min="21" max="21" width="11" hidden="0" customWidth="1"/>
    <x:col min="22" max="22" width="11" hidden="0" customWidth="1"/>
  </x:cols>
  <x:sheetData>
    <x:row r="1" ht="30" customHeight="1">
      <x:c r="A1" s="450" t="str">
        <x:v>MAGNÆRA™ — PROFESSIONAL P&amp;L — TWO-SCENARIO INVESTOR VIEW</x:v>
      </x:c>
      <x:c r="B1" s="450"/>
      <x:c r="C1" s="450"/>
      <x:c r="D1" s="450"/>
      <x:c r="E1" s="450"/>
      <x:c r="F1" s="450"/>
      <x:c r="G1" s="450"/>
      <x:c r="H1" s="450"/>
      <x:c r="I1" s="450"/>
      <x:c r="J1" s="450"/>
      <x:c r="K1" s="450"/>
      <x:c r="L1" s="450"/>
      <x:c r="M1" s="450"/>
      <x:c r="N1" s="450"/>
      <x:c r="O1" s="450"/>
      <x:c r="P1" s="450"/>
      <x:c r="Q1" s="450"/>
      <x:c r="R1" s="450"/>
      <x:c r="S1" s="450"/>
      <x:c r="T1" s="450"/>
      <x:c r="U1" s="450"/>
      <x:c r="V1" s="450"/>
    </x:row>
    <x:row r="2" ht="32" customHeight="1">
      <x:c r="A2" s="436" t="str">
        <x:v>EBITDA is fully linked to the operating model after explicit OPEX scaling. D&amp;A and a 25% corporate-income-tax proxy are analytical investor-model additions. Tax is shown as a provision / liquidity reserve; actual tax payment timing remains subject to tax advice.</x:v>
      </x:c>
      <x:c r="B2" s="436"/>
      <x:c r="C2" s="436"/>
      <x:c r="D2" s="436"/>
      <x:c r="E2" s="436"/>
      <x:c r="F2" s="436"/>
      <x:c r="G2" s="436"/>
      <x:c r="H2" s="436"/>
      <x:c r="I2" s="436"/>
      <x:c r="J2" s="436"/>
      <x:c r="K2" s="436"/>
      <x:c r="L2" s="436"/>
      <x:c r="M2" s="436"/>
      <x:c r="N2" s="436"/>
      <x:c r="O2" s="436"/>
      <x:c r="P2" s="436"/>
      <x:c r="Q2" s="436"/>
      <x:c r="R2" s="436"/>
      <x:c r="S2" s="436"/>
      <x:c r="T2" s="436"/>
      <x:c r="U2" s="436"/>
      <x:c r="V2" s="436"/>
    </x:row>
    <x:row r="3">
      <x:c r="A3" s="61"/>
      <x:c r="B3" s="61"/>
      <x:c r="C3" s="61"/>
      <x:c r="D3" s="61"/>
      <x:c r="E3" s="61"/>
      <x:c r="F3" s="61"/>
      <x:c r="G3" s="61"/>
      <x:c r="H3" s="61"/>
      <x:c r="I3" s="61"/>
      <x:c r="J3" s="61"/>
      <x:c r="K3" s="61"/>
      <x:c r="L3" s="61"/>
      <x:c r="M3" s="61"/>
      <x:c r="N3" s="61"/>
      <x:c r="O3" s="61"/>
      <x:c r="P3" s="61"/>
      <x:c r="Q3" s="61"/>
      <x:c r="R3" s="61"/>
      <x:c r="S3" s="61"/>
      <x:c r="T3" s="61"/>
      <x:c r="U3" s="61"/>
      <x:c r="V3" s="61"/>
    </x:row>
    <x:row r="4">
      <x:c r="A4" s="451" t="str">
        <x:v>Month</x:v>
      </x:c>
      <x:c r="B4" s="452" t="n">
        <x:v>46235</x:v>
      </x:c>
      <x:c r="C4" s="452" t="n">
        <x:v>46266</x:v>
      </x:c>
      <x:c r="D4" s="452" t="n">
        <x:v>46296</x:v>
      </x:c>
      <x:c r="E4" s="452" t="n">
        <x:v>46327</x:v>
      </x:c>
      <x:c r="F4" s="452" t="n">
        <x:v>46357</x:v>
      </x:c>
      <x:c r="G4" s="452" t="n">
        <x:v>46388</x:v>
      </x:c>
      <x:c r="H4" s="452" t="n">
        <x:v>46419</x:v>
      </x:c>
      <x:c r="I4" s="452" t="n">
        <x:v>46447</x:v>
      </x:c>
      <x:c r="J4" s="452" t="n">
        <x:v>46478</x:v>
      </x:c>
      <x:c r="K4" s="452" t="n">
        <x:v>46508</x:v>
      </x:c>
      <x:c r="L4" s="452" t="n">
        <x:v>46539</x:v>
      </x:c>
      <x:c r="M4" s="452" t="n">
        <x:v>46569</x:v>
      </x:c>
      <x:c r="N4" s="452" t="n">
        <x:v>46600</x:v>
      </x:c>
      <x:c r="O4" s="452" t="n">
        <x:v>46631</x:v>
      </x:c>
      <x:c r="P4" s="452" t="n">
        <x:v>46661</x:v>
      </x:c>
      <x:c r="Q4" s="452" t="n">
        <x:v>46692</x:v>
      </x:c>
      <x:c r="R4" s="452" t="n">
        <x:v>46722</x:v>
      </x:c>
      <x:c r="S4" s="452" t="n">
        <x:v>46753</x:v>
      </x:c>
      <x:c r="T4" s="452" t="n">
        <x:v>46784</x:v>
      </x:c>
      <x:c r="U4" s="452" t="n">
        <x:v>46813</x:v>
      </x:c>
      <x:c r="V4" s="452" t="n">
        <x:v>46844</x:v>
      </x:c>
    </x:row>
    <x:row r="5">
      <x:c r="A5" s="61"/>
      <x:c r="B5" s="61"/>
      <x:c r="C5" s="61"/>
      <x:c r="D5" s="61"/>
      <x:c r="E5" s="61"/>
      <x:c r="F5" s="61"/>
      <x:c r="G5" s="61"/>
      <x:c r="H5" s="61"/>
      <x:c r="I5" s="61"/>
      <x:c r="J5" s="61"/>
      <x:c r="K5" s="61"/>
      <x:c r="L5" s="61"/>
      <x:c r="M5" s="61"/>
      <x:c r="N5" s="61"/>
      <x:c r="O5" s="61"/>
      <x:c r="P5" s="61"/>
      <x:c r="Q5" s="61"/>
      <x:c r="R5" s="61"/>
      <x:c r="S5" s="61"/>
      <x:c r="T5" s="61"/>
      <x:c r="U5" s="61"/>
      <x:c r="V5" s="61"/>
    </x:row>
    <x:row r="6">
      <x:c r="A6" s="453" t="str">
        <x:v>SCENARIO 1 — ORGANIC COMPOUNDING</x:v>
      </x:c>
      <x:c r="B6" s="453"/>
      <x:c r="C6" s="453"/>
      <x:c r="D6" s="453"/>
      <x:c r="E6" s="453"/>
      <x:c r="F6" s="453"/>
      <x:c r="G6" s="453"/>
      <x:c r="H6" s="453"/>
      <x:c r="I6" s="453"/>
      <x:c r="J6" s="453"/>
      <x:c r="K6" s="453"/>
      <x:c r="L6" s="453"/>
      <x:c r="M6" s="453"/>
      <x:c r="N6" s="453"/>
      <x:c r="O6" s="453"/>
      <x:c r="P6" s="453"/>
      <x:c r="Q6" s="453"/>
      <x:c r="R6" s="453"/>
      <x:c r="S6" s="453"/>
      <x:c r="T6" s="453"/>
      <x:c r="U6" s="453"/>
      <x:c r="V6" s="453"/>
    </x:row>
    <x:row r="7">
      <x:c r="A7" s="61" t="str">
        <x:v>Gross revenue</x:v>
      </x:c>
      <x:c r="B7" s="455" t="n">
        <x:f>'Scenario 1 Organic'!B63</x:f>
        <x:v>0</x:v>
      </x:c>
      <x:c r="C7" s="455" t="n">
        <x:f>'Scenario 1 Organic'!C63</x:f>
        <x:v>0</x:v>
      </x:c>
      <x:c r="D7" s="455" t="n">
        <x:f>'Scenario 1 Organic'!D63</x:f>
        <x:v>7455</x:v>
      </x:c>
      <x:c r="E7" s="455" t="n">
        <x:f>'Scenario 1 Organic'!E63</x:f>
        <x:v>10295</x:v>
      </x:c>
      <x:c r="F7" s="455" t="n">
        <x:f>'Scenario 1 Organic'!F63</x:f>
        <x:v>14910</x:v>
      </x:c>
      <x:c r="G7" s="455" t="n">
        <x:f>'Scenario 1 Organic'!G63</x:f>
        <x:v>14910</x:v>
      </x:c>
      <x:c r="H7" s="455" t="n">
        <x:f>'Scenario 1 Organic'!H63</x:f>
        <x:v>214910</x:v>
      </x:c>
      <x:c r="I7" s="455" t="n">
        <x:f>'Scenario 1 Organic'!I63</x:f>
        <x:v>188638.125</x:v>
      </x:c>
      <x:c r="J7" s="455" t="n">
        <x:f>'Scenario 1 Organic'!J63</x:f>
        <x:v>246547.5</x:v>
      </x:c>
      <x:c r="K7" s="455" t="n">
        <x:f>'Scenario 1 Organic'!K63</x:f>
        <x:v>446547.5</x:v>
      </x:c>
      <x:c r="L7" s="455" t="n">
        <x:f>'Scenario 1 Organic'!L63</x:f>
        <x:v>246547.5</x:v>
      </x:c>
      <x:c r="M7" s="455" t="n">
        <x:f>'Scenario 1 Organic'!M63</x:f>
        <x:v>246547.5</x:v>
      </x:c>
      <x:c r="N7" s="455" t="n">
        <x:f>'Scenario 1 Organic'!N63</x:f>
        <x:v>446547.5</x:v>
      </x:c>
      <x:c r="O7" s="455" t="n">
        <x:f>'Scenario 1 Organic'!O63</x:f>
        <x:v>246547.5</x:v>
      </x:c>
      <x:c r="P7" s="455" t="n">
        <x:f>'Scenario 1 Organic'!P63</x:f>
        <x:v>478185</x:v>
      </x:c>
      <x:c r="Q7" s="455" t="n">
        <x:f>'Scenario 1 Organic'!Q63</x:f>
        <x:v>755397.5</x:v>
      </x:c>
      <x:c r="R7" s="455" t="n">
        <x:f>'Scenario 1 Organic'!R63</x:f>
        <x:v>902853.75</x:v>
      </x:c>
      <x:c r="S7" s="455" t="n">
        <x:f>'Scenario 1 Organic'!S63</x:f>
        <x:v>1018672.5</x:v>
      </x:c>
      <x:c r="T7" s="455" t="n">
        <x:f>'Scenario 1 Organic'!T63</x:f>
        <x:v>1624038.125</x:v>
      </x:c>
      <x:c r="U7" s="455" t="n">
        <x:f>'Scenario 1 Organic'!U63</x:f>
        <x:v>1559160</x:v>
      </x:c>
      <x:c r="V7" s="455" t="n">
        <x:f>'Scenario 1 Organic'!V63</x:f>
        <x:v>2717347.5</x:v>
      </x:c>
    </x:row>
    <x:row r="8">
      <x:c r="A8" s="61" t="str">
        <x:v>Net revenue retained</x:v>
      </x:c>
      <x:c r="B8" s="455" t="n">
        <x:f>'Scenario 1 Organic'!B64</x:f>
        <x:v>0</x:v>
      </x:c>
      <x:c r="C8" s="455" t="n">
        <x:f>'Scenario 1 Organic'!C64</x:f>
        <x:v>0</x:v>
      </x:c>
      <x:c r="D8" s="455" t="n">
        <x:f>'Scenario 1 Organic'!D64</x:f>
        <x:v>7455</x:v>
      </x:c>
      <x:c r="E8" s="455" t="n">
        <x:f>'Scenario 1 Organic'!E64</x:f>
        <x:v>10295</x:v>
      </x:c>
      <x:c r="F8" s="455" t="n">
        <x:f>'Scenario 1 Organic'!F64</x:f>
        <x:v>14910</x:v>
      </x:c>
      <x:c r="G8" s="455" t="n">
        <x:f>'Scenario 1 Organic'!G64</x:f>
        <x:v>14910</x:v>
      </x:c>
      <x:c r="H8" s="455" t="n">
        <x:f>'Scenario 1 Organic'!H64</x:f>
        <x:v>134910</x:v>
      </x:c>
      <x:c r="I8" s="455" t="n">
        <x:f>'Scenario 1 Organic'!I64</x:f>
        <x:v>188638.125</x:v>
      </x:c>
      <x:c r="J8" s="455" t="n">
        <x:f>'Scenario 1 Organic'!J64</x:f>
        <x:v>246547.5</x:v>
      </x:c>
      <x:c r="K8" s="455" t="n">
        <x:f>'Scenario 1 Organic'!K64</x:f>
        <x:v>366547.5</x:v>
      </x:c>
      <x:c r="L8" s="455" t="n">
        <x:f>'Scenario 1 Organic'!L64</x:f>
        <x:v>246547.5</x:v>
      </x:c>
      <x:c r="M8" s="455" t="n">
        <x:f>'Scenario 1 Organic'!M64</x:f>
        <x:v>246547.5</x:v>
      </x:c>
      <x:c r="N8" s="455" t="n">
        <x:f>'Scenario 1 Organic'!N64</x:f>
        <x:v>366547.5</x:v>
      </x:c>
      <x:c r="O8" s="455" t="n">
        <x:f>'Scenario 1 Organic'!O64</x:f>
        <x:v>246547.5</x:v>
      </x:c>
      <x:c r="P8" s="455" t="n">
        <x:f>'Scenario 1 Organic'!P64</x:f>
        <x:v>478185</x:v>
      </x:c>
      <x:c r="Q8" s="455" t="n">
        <x:f>'Scenario 1 Organic'!Q64</x:f>
        <x:v>675397.5</x:v>
      </x:c>
      <x:c r="R8" s="455" t="n">
        <x:f>'Scenario 1 Organic'!R64</x:f>
        <x:v>902853.75</x:v>
      </x:c>
      <x:c r="S8" s="455" t="n">
        <x:f>'Scenario 1 Organic'!S64</x:f>
        <x:v>1018672.5</x:v>
      </x:c>
      <x:c r="T8" s="455" t="n">
        <x:f>'Scenario 1 Organic'!T64</x:f>
        <x:v>1544038.125</x:v>
      </x:c>
      <x:c r="U8" s="455" t="n">
        <x:f>'Scenario 1 Organic'!U64</x:f>
        <x:v>1559160</x:v>
      </x:c>
      <x:c r="V8" s="455" t="n">
        <x:f>'Scenario 1 Organic'!V64</x:f>
        <x:v>2717347.5</x:v>
      </x:c>
    </x:row>
    <x:row r="9">
      <x:c r="A9" s="61" t="str">
        <x:v>Variable costs</x:v>
      </x:c>
      <x:c r="B9" s="455" t="n">
        <x:f>'Scenario 1 Organic'!B65</x:f>
        <x:v>0</x:v>
      </x:c>
      <x:c r="C9" s="455" t="n">
        <x:f>'Scenario 1 Organic'!C65</x:f>
        <x:v>0</x:v>
      </x:c>
      <x:c r="D9" s="455" t="n">
        <x:f>'Scenario 1 Organic'!D65</x:f>
        <x:v>2219.7</x:v>
      </x:c>
      <x:c r="E9" s="455" t="n">
        <x:f>'Scenario 1 Organic'!E65</x:f>
        <x:v>3065.2999999999997</x:v>
      </x:c>
      <x:c r="F9" s="455" t="n">
        <x:f>'Scenario 1 Organic'!F65</x:f>
        <x:v>4439.4</x:v>
      </x:c>
      <x:c r="G9" s="455" t="n">
        <x:f>'Scenario 1 Organic'!G65</x:f>
        <x:v>4439.4</x:v>
      </x:c>
      <x:c r="H9" s="455" t="n">
        <x:f>'Scenario 1 Organic'!H65</x:f>
        <x:v>127039.4</x:v>
      </x:c>
      <x:c r="I9" s="455" t="n">
        <x:f>'Scenario 1 Organic'!I65</x:f>
        <x:v>82225.55625</x:v>
      </x:c>
      <x:c r="J9" s="455" t="n">
        <x:f>'Scenario 1 Organic'!J65</x:f>
        <x:v>108154.275</x:v>
      </x:c>
      <x:c r="K9" s="455" t="n">
        <x:f>'Scenario 1 Organic'!K65</x:f>
        <x:v>230754.275</x:v>
      </x:c>
      <x:c r="L9" s="455" t="n">
        <x:f>'Scenario 1 Organic'!L65</x:f>
        <x:v>108154.275</x:v>
      </x:c>
      <x:c r="M9" s="455" t="n">
        <x:f>'Scenario 1 Organic'!M65</x:f>
        <x:v>108154.275</x:v>
      </x:c>
      <x:c r="N9" s="455" t="n">
        <x:f>'Scenario 1 Organic'!N65</x:f>
        <x:v>230754.275</x:v>
      </x:c>
      <x:c r="O9" s="455" t="n">
        <x:f>'Scenario 1 Organic'!O65</x:f>
        <x:v>108154.275</x:v>
      </x:c>
      <x:c r="P9" s="455" t="n">
        <x:f>'Scenario 1 Organic'!P65</x:f>
        <x:v>211869.15</x:v>
      </x:c>
      <x:c r="Q9" s="455" t="n">
        <x:f>'Scenario 1 Organic'!Q65</x:f>
        <x:v>369040.775</x:v>
      </x:c>
      <x:c r="R9" s="455" t="n">
        <x:f>'Scenario 1 Organic'!R65</x:f>
        <x:v>402013.0875</x:v>
      </x:c>
      <x:c r="S9" s="455" t="n">
        <x:f>'Scenario 1 Organic'!S65</x:f>
        <x:v>453870.52499999997</x:v>
      </x:c>
      <x:c r="T9" s="455" t="n">
        <x:f>'Scenario 1 Organic'!T65</x:f>
        <x:v>757971.55625</x:v>
      </x:c>
      <x:c r="U9" s="455" t="n">
        <x:f>'Scenario 1 Organic'!U65</x:f>
        <x:v>695871.9</x:v>
      </x:c>
      <x:c r="V9" s="455" t="n">
        <x:f>'Scenario 1 Organic'!V65</x:f>
        <x:v>1214446.275</x:v>
      </x:c>
    </x:row>
    <x:row r="10">
      <x:c r="A10" s="463" t="str">
        <x:v>Gross contribution</x:v>
      </x:c>
      <x:c r="B10" s="464" t="n">
        <x:f>'Scenario 1 Organic'!B66</x:f>
        <x:v>0</x:v>
      </x:c>
      <x:c r="C10" s="464" t="n">
        <x:f>'Scenario 1 Organic'!C66</x:f>
        <x:v>0</x:v>
      </x:c>
      <x:c r="D10" s="464" t="n">
        <x:f>'Scenario 1 Organic'!D66</x:f>
        <x:v>5235.3</x:v>
      </x:c>
      <x:c r="E10" s="464" t="n">
        <x:f>'Scenario 1 Organic'!E66</x:f>
        <x:v>7229.700000000001</x:v>
      </x:c>
      <x:c r="F10" s="464" t="n">
        <x:f>'Scenario 1 Organic'!F66</x:f>
        <x:v>10470.6</x:v>
      </x:c>
      <x:c r="G10" s="464" t="n">
        <x:f>'Scenario 1 Organic'!G66</x:f>
        <x:v>10470.6</x:v>
      </x:c>
      <x:c r="H10" s="464" t="n">
        <x:f>'Scenario 1 Organic'!H66</x:f>
        <x:v>87870.6</x:v>
      </x:c>
      <x:c r="I10" s="464" t="n">
        <x:f>'Scenario 1 Organic'!I66</x:f>
        <x:v>106412.56875</x:v>
      </x:c>
      <x:c r="J10" s="464" t="n">
        <x:f>'Scenario 1 Organic'!J66</x:f>
        <x:v>138393.225</x:v>
      </x:c>
      <x:c r="K10" s="464" t="n">
        <x:f>'Scenario 1 Organic'!K66</x:f>
        <x:v>215793.225</x:v>
      </x:c>
      <x:c r="L10" s="464" t="n">
        <x:f>'Scenario 1 Organic'!L66</x:f>
        <x:v>138393.225</x:v>
      </x:c>
      <x:c r="M10" s="464" t="n">
        <x:f>'Scenario 1 Organic'!M66</x:f>
        <x:v>138393.225</x:v>
      </x:c>
      <x:c r="N10" s="464" t="n">
        <x:f>'Scenario 1 Organic'!N66</x:f>
        <x:v>215793.225</x:v>
      </x:c>
      <x:c r="O10" s="464" t="n">
        <x:f>'Scenario 1 Organic'!O66</x:f>
        <x:v>138393.225</x:v>
      </x:c>
      <x:c r="P10" s="464" t="n">
        <x:f>'Scenario 1 Organic'!P66</x:f>
        <x:v>266315.85</x:v>
      </x:c>
      <x:c r="Q10" s="464" t="n">
        <x:f>'Scenario 1 Organic'!Q66</x:f>
        <x:v>386356.725</x:v>
      </x:c>
      <x:c r="R10" s="464" t="n">
        <x:f>'Scenario 1 Organic'!R66</x:f>
        <x:v>500840.6625</x:v>
      </x:c>
      <x:c r="S10" s="464" t="n">
        <x:f>'Scenario 1 Organic'!S66</x:f>
        <x:v>564801.9750000001</x:v>
      </x:c>
      <x:c r="T10" s="464" t="n">
        <x:f>'Scenario 1 Organic'!T66</x:f>
        <x:v>866066.56875</x:v>
      </x:c>
      <x:c r="U10" s="464" t="n">
        <x:f>'Scenario 1 Organic'!U66</x:f>
        <x:v>863288.1</x:v>
      </x:c>
      <x:c r="V10" s="464" t="n">
        <x:f>'Scenario 1 Organic'!V66</x:f>
        <x:v>1502901.225</x:v>
      </x:c>
    </x:row>
    <x:row r="11">
      <x:c r="A11" s="61" t="str">
        <x:v>Personnel &amp; fixed OPEX</x:v>
      </x:c>
      <x:c r="B11" s="455" t="n">
        <x:f>'Scenario 1 Organic'!B67</x:f>
        <x:v>0</x:v>
      </x:c>
      <x:c r="C11" s="455" t="n">
        <x:f>'Scenario 1 Organic'!C67</x:f>
        <x:v>15700</x:v>
      </x:c>
      <x:c r="D11" s="455" t="n">
        <x:f>'Scenario 1 Organic'!D67</x:f>
        <x:v>15700</x:v>
      </x:c>
      <x:c r="E11" s="455" t="n">
        <x:f>'Scenario 1 Organic'!E67</x:f>
        <x:v>15700</x:v>
      </x:c>
      <x:c r="F11" s="455" t="n">
        <x:f>'Scenario 1 Organic'!F67</x:f>
        <x:v>15700</x:v>
      </x:c>
      <x:c r="G11" s="455" t="n">
        <x:f>'Scenario 1 Organic'!G67</x:f>
        <x:v>15700</x:v>
      </x:c>
      <x:c r="H11" s="455" t="n">
        <x:f>'Scenario 1 Organic'!H67</x:f>
        <x:v>15700</x:v>
      </x:c>
      <x:c r="I11" s="455" t="n">
        <x:f>'Scenario 1 Organic'!I67</x:f>
        <x:v>15700</x:v>
      </x:c>
      <x:c r="J11" s="455" t="n">
        <x:f>'Scenario 1 Organic'!J67</x:f>
        <x:v>15700</x:v>
      </x:c>
      <x:c r="K11" s="455" t="n">
        <x:f>'Scenario 1 Organic'!K67</x:f>
        <x:v>15700</x:v>
      </x:c>
      <x:c r="L11" s="455" t="n">
        <x:f>'Scenario 1 Organic'!L67</x:f>
        <x:v>15700</x:v>
      </x:c>
      <x:c r="M11" s="455" t="n">
        <x:f>'Scenario 1 Organic'!M67</x:f>
        <x:v>15700</x:v>
      </x:c>
      <x:c r="N11" s="455" t="n">
        <x:f>'Scenario 1 Organic'!N67</x:f>
        <x:v>15700</x:v>
      </x:c>
      <x:c r="O11" s="455" t="n">
        <x:f>'Scenario 1 Organic'!O67</x:f>
        <x:v>15700</x:v>
      </x:c>
      <x:c r="P11" s="455" t="n">
        <x:f>'Scenario 1 Organic'!P67</x:f>
        <x:v>30000</x:v>
      </x:c>
      <x:c r="Q11" s="455" t="n">
        <x:f>'Scenario 1 Organic'!Q67</x:f>
        <x:v>30000</x:v>
      </x:c>
      <x:c r="R11" s="455" t="n">
        <x:f>'Scenario 1 Organic'!R67</x:f>
        <x:v>60000</x:v>
      </x:c>
      <x:c r="S11" s="455" t="n">
        <x:f>'Scenario 1 Organic'!S67</x:f>
        <x:v>60000</x:v>
      </x:c>
      <x:c r="T11" s="455" t="n">
        <x:f>'Scenario 1 Organic'!T67</x:f>
        <x:v>110000</x:v>
      </x:c>
      <x:c r="U11" s="455" t="n">
        <x:f>'Scenario 1 Organic'!U67</x:f>
        <x:v>110000</x:v>
      </x:c>
      <x:c r="V11" s="455" t="n">
        <x:f>'Scenario 1 Organic'!V67</x:f>
        <x:v>235000</x:v>
      </x:c>
    </x:row>
    <x:row r="12">
      <x:c r="A12" s="463" t="str">
        <x:v>EBITDA</x:v>
      </x:c>
      <x:c r="B12" s="464" t="n">
        <x:f>'Scenario 1 Organic'!B68</x:f>
        <x:v>0</x:v>
      </x:c>
      <x:c r="C12" s="464" t="n">
        <x:f>'Scenario 1 Organic'!C68</x:f>
        <x:v>-15700</x:v>
      </x:c>
      <x:c r="D12" s="464" t="n">
        <x:f>'Scenario 1 Organic'!D68</x:f>
        <x:v>-10464.7</x:v>
      </x:c>
      <x:c r="E12" s="464" t="n">
        <x:f>'Scenario 1 Organic'!E68</x:f>
        <x:v>-8470.3</x:v>
      </x:c>
      <x:c r="F12" s="464" t="n">
        <x:f>'Scenario 1 Organic'!F68</x:f>
        <x:v>-5229.4</x:v>
      </x:c>
      <x:c r="G12" s="464" t="n">
        <x:f>'Scenario 1 Organic'!G68</x:f>
        <x:v>-5229.4</x:v>
      </x:c>
      <x:c r="H12" s="464" t="n">
        <x:f>'Scenario 1 Organic'!H68</x:f>
        <x:v>72170.6</x:v>
      </x:c>
      <x:c r="I12" s="464" t="n">
        <x:f>'Scenario 1 Organic'!I68</x:f>
        <x:v>90712.56875</x:v>
      </x:c>
      <x:c r="J12" s="464" t="n">
        <x:f>'Scenario 1 Organic'!J68</x:f>
        <x:v>122693.225</x:v>
      </x:c>
      <x:c r="K12" s="464" t="n">
        <x:f>'Scenario 1 Organic'!K68</x:f>
        <x:v>200093.225</x:v>
      </x:c>
      <x:c r="L12" s="464" t="n">
        <x:f>'Scenario 1 Organic'!L68</x:f>
        <x:v>122693.225</x:v>
      </x:c>
      <x:c r="M12" s="464" t="n">
        <x:f>'Scenario 1 Organic'!M68</x:f>
        <x:v>122693.225</x:v>
      </x:c>
      <x:c r="N12" s="464" t="n">
        <x:f>'Scenario 1 Organic'!N68</x:f>
        <x:v>200093.225</x:v>
      </x:c>
      <x:c r="O12" s="464" t="n">
        <x:f>'Scenario 1 Organic'!O68</x:f>
        <x:v>122693.225</x:v>
      </x:c>
      <x:c r="P12" s="464" t="n">
        <x:f>'Scenario 1 Organic'!P68</x:f>
        <x:v>236315.84999999998</x:v>
      </x:c>
      <x:c r="Q12" s="464" t="n">
        <x:f>'Scenario 1 Organic'!Q68</x:f>
        <x:v>356356.725</x:v>
      </x:c>
      <x:c r="R12" s="464" t="n">
        <x:f>'Scenario 1 Organic'!R68</x:f>
        <x:v>440840.6625</x:v>
      </x:c>
      <x:c r="S12" s="464" t="n">
        <x:f>'Scenario 1 Organic'!S68</x:f>
        <x:v>504801.9750000001</x:v>
      </x:c>
      <x:c r="T12" s="464" t="n">
        <x:f>'Scenario 1 Organic'!T68</x:f>
        <x:v>756066.56875</x:v>
      </x:c>
      <x:c r="U12" s="464" t="n">
        <x:f>'Scenario 1 Organic'!U68</x:f>
        <x:v>753288.1</x:v>
      </x:c>
      <x:c r="V12" s="464" t="n">
        <x:f>'Scenario 1 Organic'!V68</x:f>
        <x:v>1267901.225</x:v>
      </x:c>
    </x:row>
    <x:row r="13">
      <x:c r="A13" s="61" t="str">
        <x:v>Depreciation &amp; amortisation</x:v>
      </x:c>
      <x:c r="B13" s="455" t="n">
        <x:f>'Scenario 1 Organic'!B18*(Assumptions!$B$37+Assumptions!$B$36)/Assumptions!$B$92</x:f>
        <x:v>0</x:v>
      </x:c>
      <x:c r="C13" s="455" t="n">
        <x:f>'Scenario 1 Organic'!C18*(Assumptions!$B$37+Assumptions!$B$36)/Assumptions!$B$92</x:f>
        <x:v>0</x:v>
      </x:c>
      <x:c r="D13" s="455" t="n">
        <x:f>'Scenario 1 Organic'!D18*(Assumptions!$B$37+Assumptions!$B$36)/Assumptions!$B$92</x:f>
        <x:v>97.25555555555556</x:v>
      </x:c>
      <x:c r="E13" s="455" t="n">
        <x:f>'Scenario 1 Organic'!E18*(Assumptions!$B$37+Assumptions!$B$36)/Assumptions!$B$92</x:f>
        <x:v>97.25555555555556</x:v>
      </x:c>
      <x:c r="F13" s="455" t="n">
        <x:f>'Scenario 1 Organic'!F18*(Assumptions!$B$37+Assumptions!$B$36)/Assumptions!$B$92</x:f>
        <x:v>97.25555555555556</x:v>
      </x:c>
      <x:c r="G13" s="455" t="n">
        <x:f>'Scenario 1 Organic'!G18*(Assumptions!$B$37+Assumptions!$B$36)/Assumptions!$B$92</x:f>
        <x:v>97.25555555555556</x:v>
      </x:c>
      <x:c r="H13" s="455" t="n">
        <x:f>'Scenario 1 Organic'!H18*(Assumptions!$B$37+Assumptions!$B$36)/Assumptions!$B$92</x:f>
        <x:v>97.25555555555556</x:v>
      </x:c>
      <x:c r="I13" s="455" t="n">
        <x:f>'Scenario 1 Organic'!I18*(Assumptions!$B$37+Assumptions!$B$36)/Assumptions!$B$92</x:f>
        <x:v>1556.088888888889</x:v>
      </x:c>
      <x:c r="J13" s="455" t="n">
        <x:f>'Scenario 1 Organic'!J18*(Assumptions!$B$37+Assumptions!$B$36)/Assumptions!$B$92</x:f>
        <x:v>1556.088888888889</x:v>
      </x:c>
      <x:c r="K13" s="455" t="n">
        <x:f>'Scenario 1 Organic'!K18*(Assumptions!$B$37+Assumptions!$B$36)/Assumptions!$B$92</x:f>
        <x:v>1556.088888888889</x:v>
      </x:c>
      <x:c r="L13" s="455" t="n">
        <x:f>'Scenario 1 Organic'!L18*(Assumptions!$B$37+Assumptions!$B$36)/Assumptions!$B$92</x:f>
        <x:v>1556.088888888889</x:v>
      </x:c>
      <x:c r="M13" s="455" t="n">
        <x:f>'Scenario 1 Organic'!M18*(Assumptions!$B$37+Assumptions!$B$36)/Assumptions!$B$92</x:f>
        <x:v>1556.088888888889</x:v>
      </x:c>
      <x:c r="N13" s="455" t="n">
        <x:f>'Scenario 1 Organic'!N18*(Assumptions!$B$37+Assumptions!$B$36)/Assumptions!$B$92</x:f>
        <x:v>1556.088888888889</x:v>
      </x:c>
      <x:c r="O13" s="455" t="n">
        <x:f>'Scenario 1 Organic'!O18*(Assumptions!$B$37+Assumptions!$B$36)/Assumptions!$B$92</x:f>
        <x:v>1556.088888888889</x:v>
      </x:c>
      <x:c r="P13" s="455" t="n">
        <x:f>'Scenario 1 Organic'!P18*(Assumptions!$B$37+Assumptions!$B$36)/Assumptions!$B$92</x:f>
        <x:v>3501.2000000000003</x:v>
      </x:c>
      <x:c r="Q13" s="455" t="n">
        <x:f>'Scenario 1 Organic'!Q18*(Assumptions!$B$37+Assumptions!$B$36)/Assumptions!$B$92</x:f>
        <x:v>3501.2000000000003</x:v>
      </x:c>
      <x:c r="R13" s="455" t="n">
        <x:f>'Scenario 1 Organic'!R18*(Assumptions!$B$37+Assumptions!$B$36)/Assumptions!$B$92</x:f>
        <x:v>6418.866666666668</x:v>
      </x:c>
      <x:c r="S13" s="455" t="n">
        <x:f>'Scenario 1 Organic'!S18*(Assumptions!$B$37+Assumptions!$B$36)/Assumptions!$B$92</x:f>
        <x:v>6418.866666666668</x:v>
      </x:c>
      <x:c r="T13" s="455" t="n">
        <x:f>'Scenario 1 Organic'!T18*(Assumptions!$B$37+Assumptions!$B$36)/Assumptions!$B$92</x:f>
        <x:v>9822.811111111112</x:v>
      </x:c>
      <x:c r="U13" s="455" t="n">
        <x:f>'Scenario 1 Organic'!U18*(Assumptions!$B$37+Assumptions!$B$36)/Assumptions!$B$92</x:f>
        <x:v>9822.811111111112</x:v>
      </x:c>
      <x:c r="V13" s="455" t="n">
        <x:f>'Scenario 1 Organic'!V18*(Assumptions!$B$37+Assumptions!$B$36)/Assumptions!$B$92</x:f>
        <x:v>19548.366666666672</x:v>
      </x:c>
    </x:row>
    <x:row r="14">
      <x:c r="A14" s="463" t="str">
        <x:v>EBIT</x:v>
      </x:c>
      <x:c r="B14" s="464" t="n">
        <x:f>B12-B13</x:f>
        <x:v>0</x:v>
      </x:c>
      <x:c r="C14" s="464" t="n">
        <x:f>C12-C13</x:f>
        <x:v>-15700</x:v>
      </x:c>
      <x:c r="D14" s="464" t="n">
        <x:f>D12-D13</x:f>
        <x:v>-10561.955555555556</x:v>
      </x:c>
      <x:c r="E14" s="464" t="n">
        <x:f>E12-E13</x:f>
        <x:v>-8567.555555555555</x:v>
      </x:c>
      <x:c r="F14" s="464" t="n">
        <x:f>F12-F13</x:f>
        <x:v>-5326.655555555555</x:v>
      </x:c>
      <x:c r="G14" s="464" t="n">
        <x:f>G12-G13</x:f>
        <x:v>-5326.655555555555</x:v>
      </x:c>
      <x:c r="H14" s="464" t="n">
        <x:f>H12-H13</x:f>
        <x:v>72073.34444444445</x:v>
      </x:c>
      <x:c r="I14" s="464" t="n">
        <x:f>I12-I13</x:f>
        <x:v>89156.47986111112</x:v>
      </x:c>
      <x:c r="J14" s="464" t="n">
        <x:f>J12-J13</x:f>
        <x:v>121137.13611111112</x:v>
      </x:c>
      <x:c r="K14" s="464" t="n">
        <x:f>K12-K13</x:f>
        <x:v>198537.13611111112</x:v>
      </x:c>
      <x:c r="L14" s="464" t="n">
        <x:f>L12-L13</x:f>
        <x:v>121137.13611111112</x:v>
      </x:c>
      <x:c r="M14" s="464" t="n">
        <x:f>M12-M13</x:f>
        <x:v>121137.13611111112</x:v>
      </x:c>
      <x:c r="N14" s="464" t="n">
        <x:f>N12-N13</x:f>
        <x:v>198537.13611111112</x:v>
      </x:c>
      <x:c r="O14" s="464" t="n">
        <x:f>O12-O13</x:f>
        <x:v>121137.13611111112</x:v>
      </x:c>
      <x:c r="P14" s="464" t="n">
        <x:f>P12-P13</x:f>
        <x:v>232814.64999999997</x:v>
      </x:c>
      <x:c r="Q14" s="464" t="n">
        <x:f>Q12-Q13</x:f>
        <x:v>352855.52499999997</x:v>
      </x:c>
      <x:c r="R14" s="464" t="n">
        <x:f>R12-R13</x:f>
        <x:v>434421.79583333334</x:v>
      </x:c>
      <x:c r="S14" s="464" t="n">
        <x:f>S12-S13</x:f>
        <x:v>498383.10833333345</x:v>
      </x:c>
      <x:c r="T14" s="464" t="n">
        <x:f>T12-T13</x:f>
        <x:v>746243.7576388889</x:v>
      </x:c>
      <x:c r="U14" s="464" t="n">
        <x:f>U12-U13</x:f>
        <x:v>743465.2888888889</x:v>
      </x:c>
      <x:c r="V14" s="464" t="n">
        <x:f>V12-V13</x:f>
        <x:v>1248352.8583333334</x:v>
      </x:c>
    </x:row>
    <x:row r="15">
      <x:c r="A15" s="61" t="str">
        <x:v>Corporate income tax provision</x:v>
      </x:c>
      <x:c r="B15" s="455" t="n">
        <x:f>MAX(0,B14*Assumptions!$B$91)</x:f>
        <x:v>0</x:v>
      </x:c>
      <x:c r="C15" s="455" t="n">
        <x:f>MAX(0,C14*Assumptions!$B$91)</x:f>
        <x:v>0</x:v>
      </x:c>
      <x:c r="D15" s="455" t="n">
        <x:f>MAX(0,D14*Assumptions!$B$91)</x:f>
        <x:v>0</x:v>
      </x:c>
      <x:c r="E15" s="455" t="n">
        <x:f>MAX(0,E14*Assumptions!$B$91)</x:f>
        <x:v>0</x:v>
      </x:c>
      <x:c r="F15" s="455" t="n">
        <x:f>MAX(0,F14*Assumptions!$B$91)</x:f>
        <x:v>0</x:v>
      </x:c>
      <x:c r="G15" s="455" t="n">
        <x:f>MAX(0,G14*Assumptions!$B$91)</x:f>
        <x:v>0</x:v>
      </x:c>
      <x:c r="H15" s="455" t="n">
        <x:f>MAX(0,H14*Assumptions!$B$91)</x:f>
        <x:v>18018.33611111111</x:v>
      </x:c>
      <x:c r="I15" s="455" t="n">
        <x:f>MAX(0,I14*Assumptions!$B$91)</x:f>
        <x:v>22289.11996527778</x:v>
      </x:c>
      <x:c r="J15" s="455" t="n">
        <x:f>MAX(0,J14*Assumptions!$B$91)</x:f>
        <x:v>30284.28402777778</x:v>
      </x:c>
      <x:c r="K15" s="455" t="n">
        <x:f>MAX(0,K14*Assumptions!$B$91)</x:f>
        <x:v>49634.28402777778</x:v>
      </x:c>
      <x:c r="L15" s="455" t="n">
        <x:f>MAX(0,L14*Assumptions!$B$91)</x:f>
        <x:v>30284.28402777778</x:v>
      </x:c>
      <x:c r="M15" s="455" t="n">
        <x:f>MAX(0,M14*Assumptions!$B$91)</x:f>
        <x:v>30284.28402777778</x:v>
      </x:c>
      <x:c r="N15" s="455" t="n">
        <x:f>MAX(0,N14*Assumptions!$B$91)</x:f>
        <x:v>49634.28402777778</x:v>
      </x:c>
      <x:c r="O15" s="455" t="n">
        <x:f>MAX(0,O14*Assumptions!$B$91)</x:f>
        <x:v>30284.28402777778</x:v>
      </x:c>
      <x:c r="P15" s="455" t="n">
        <x:f>MAX(0,P14*Assumptions!$B$91)</x:f>
        <x:v>58203.66249999999</x:v>
      </x:c>
      <x:c r="Q15" s="455" t="n">
        <x:f>MAX(0,Q14*Assumptions!$B$91)</x:f>
        <x:v>88213.88124999999</x:v>
      </x:c>
      <x:c r="R15" s="455" t="n">
        <x:f>MAX(0,R14*Assumptions!$B$91)</x:f>
        <x:v>108605.44895833333</x:v>
      </x:c>
      <x:c r="S15" s="455" t="n">
        <x:f>MAX(0,S14*Assumptions!$B$91)</x:f>
        <x:v>124595.77708333336</x:v>
      </x:c>
      <x:c r="T15" s="455" t="n">
        <x:f>MAX(0,T14*Assumptions!$B$91)</x:f>
        <x:v>186560.93940972222</x:v>
      </x:c>
      <x:c r="U15" s="455" t="n">
        <x:f>MAX(0,U14*Assumptions!$B$91)</x:f>
        <x:v>185866.32222222222</x:v>
      </x:c>
      <x:c r="V15" s="455" t="n">
        <x:f>MAX(0,V14*Assumptions!$B$91)</x:f>
        <x:v>312088.21458333335</x:v>
      </x:c>
    </x:row>
    <x:row r="16">
      <x:c r="A16" s="463" t="str">
        <x:v>Net income</x:v>
      </x:c>
      <x:c r="B16" s="464" t="n">
        <x:f>B14-B15</x:f>
        <x:v>0</x:v>
      </x:c>
      <x:c r="C16" s="464" t="n">
        <x:f>C14-C15</x:f>
        <x:v>-15700</x:v>
      </x:c>
      <x:c r="D16" s="464" t="n">
        <x:f>D14-D15</x:f>
        <x:v>-10561.955555555556</x:v>
      </x:c>
      <x:c r="E16" s="464" t="n">
        <x:f>E14-E15</x:f>
        <x:v>-8567.555555555555</x:v>
      </x:c>
      <x:c r="F16" s="464" t="n">
        <x:f>F14-F15</x:f>
        <x:v>-5326.655555555555</x:v>
      </x:c>
      <x:c r="G16" s="464" t="n">
        <x:f>G14-G15</x:f>
        <x:v>-5326.655555555555</x:v>
      </x:c>
      <x:c r="H16" s="464" t="n">
        <x:f>H14-H15</x:f>
        <x:v>54055.00833333333</x:v>
      </x:c>
      <x:c r="I16" s="464" t="n">
        <x:f>I14-I15</x:f>
        <x:v>66867.35989583333</x:v>
      </x:c>
      <x:c r="J16" s="464" t="n">
        <x:f>J14-J15</x:f>
        <x:v>90852.85208333333</x:v>
      </x:c>
      <x:c r="K16" s="464" t="n">
        <x:f>K14-K15</x:f>
        <x:v>148902.85208333333</x:v>
      </x:c>
      <x:c r="L16" s="464" t="n">
        <x:f>L14-L15</x:f>
        <x:v>90852.85208333333</x:v>
      </x:c>
      <x:c r="M16" s="464" t="n">
        <x:f>M14-M15</x:f>
        <x:v>90852.85208333333</x:v>
      </x:c>
      <x:c r="N16" s="464" t="n">
        <x:f>N14-N15</x:f>
        <x:v>148902.85208333333</x:v>
      </x:c>
      <x:c r="O16" s="464" t="n">
        <x:f>O14-O15</x:f>
        <x:v>90852.85208333333</x:v>
      </x:c>
      <x:c r="P16" s="464" t="n">
        <x:f>P14-P15</x:f>
        <x:v>174610.9875</x:v>
      </x:c>
      <x:c r="Q16" s="464" t="n">
        <x:f>Q14-Q15</x:f>
        <x:v>264641.64375</x:v>
      </x:c>
      <x:c r="R16" s="464" t="n">
        <x:f>R14-R15</x:f>
        <x:v>325816.346875</x:v>
      </x:c>
      <x:c r="S16" s="464" t="n">
        <x:f>S14-S15</x:f>
        <x:v>373787.3312500001</x:v>
      </x:c>
      <x:c r="T16" s="464" t="n">
        <x:f>T14-T15</x:f>
        <x:v>559682.8182291667</x:v>
      </x:c>
      <x:c r="U16" s="464" t="n">
        <x:f>U14-U15</x:f>
        <x:v>557598.9666666667</x:v>
      </x:c>
      <x:c r="V16" s="464" t="n">
        <x:f>V14-V15</x:f>
        <x:v>936264.64375</x:v>
      </x:c>
    </x:row>
    <x:row r="17">
      <x:c r="A17" s="61" t="str">
        <x:v>EBITDA margin</x:v>
      </x:c>
      <x:c r="B17" s="465" t="n">
        <x:f>IF(B7=0,0,B12/B7)</x:f>
        <x:v>0</x:v>
      </x:c>
      <x:c r="C17" s="465" t="n">
        <x:f>IF(C7=0,0,C12/C7)</x:f>
        <x:v>0</x:v>
      </x:c>
      <x:c r="D17" s="465" t="n">
        <x:f>IF(D7=0,0,D12/D7)</x:f>
        <x:v>-1.4037156270959088</x:v>
      </x:c>
      <x:c r="E17" s="465" t="n">
        <x:f>IF(E7=0,0,E12/E7)</x:f>
        <x:v>-0.8227586206896551</x:v>
      </x:c>
      <x:c r="F17" s="465" t="n">
        <x:f>IF(F7=0,0,F12/F7)</x:f>
        <x:v>-0.3507310529845741</x:v>
      </x:c>
      <x:c r="G17" s="465" t="n">
        <x:f>IF(G7=0,0,G12/G7)</x:f>
        <x:v>-0.3507310529845741</x:v>
      </x:c>
      <x:c r="H17" s="465" t="n">
        <x:f>IF(H7=0,0,H12/H7)</x:f>
        <x:v>0.3358177841887302</x:v>
      </x:c>
      <x:c r="I17" s="465" t="n">
        <x:f>IF(I7=0,0,I12/I7)</x:f>
        <x:v>0.4808814164687017</x:v>
      </x:c>
      <x:c r="J17" s="465" t="n">
        <x:f>IF(J7=0,0,J12/J7)</x:f>
        <x:v>0.49764538273557835</x:v>
      </x:c>
      <x:c r="K17" s="465" t="n">
        <x:f>IF(K7=0,0,K12/K7)</x:f>
        <x:v>0.44808945296972885</x:v>
      </x:c>
      <x:c r="L17" s="465" t="n">
        <x:f>IF(L7=0,0,L12/L7)</x:f>
        <x:v>0.49764538273557835</x:v>
      </x:c>
      <x:c r="M17" s="465" t="n">
        <x:f>IF(M7=0,0,M12/M7)</x:f>
        <x:v>0.49764538273557835</x:v>
      </x:c>
      <x:c r="N17" s="465" t="n">
        <x:f>IF(N7=0,0,N12/N7)</x:f>
        <x:v>0.44808945296972885</x:v>
      </x:c>
      <x:c r="O17" s="465" t="n">
        <x:f>IF(O7=0,0,O12/O7)</x:f>
        <x:v>0.49764538273557835</x:v>
      </x:c>
      <x:c r="P17" s="465" t="n">
        <x:f>IF(P7=0,0,P12/P7)</x:f>
        <x:v>0.4941933561278584</x:v>
      </x:c>
      <x:c r="Q17" s="465" t="n">
        <x:f>IF(Q7=0,0,Q12/Q7)</x:f>
        <x:v>0.47174729198865495</x:v>
      </x:c>
      <x:c r="R17" s="465" t="n">
        <x:f>IF(R7=0,0,R12/R7)</x:f>
        <x:v>0.4882747205735148</x:v>
      </x:c>
      <x:c r="S17" s="465" t="n">
        <x:f>IF(S7=0,0,S12/S7)</x:f>
        <x:v>0.49554883929820437</x:v>
      </x:c>
      <x:c r="T17" s="465" t="n">
        <x:f>IF(T7=0,0,T12/T7)</x:f>
        <x:v>0.46554730280731554</x:v>
      </x:c>
      <x:c r="U17" s="465" t="n">
        <x:f>IF(U7=0,0,U12/U7)</x:f>
        <x:v>0.4831371379460735</x:v>
      </x:c>
      <x:c r="V17" s="465" t="n">
        <x:f>IF(V7=0,0,V12/V7)</x:f>
        <x:v>0.46659517231417774</x:v>
      </x:c>
    </x:row>
    <x:row r="18">
      <x:c r="A18" s="61" t="str">
        <x:v>Net income margin</x:v>
      </x:c>
      <x:c r="B18" s="465" t="n">
        <x:f>IF(B7=0,0,B16/B7)</x:f>
        <x:v>0</x:v>
      </x:c>
      <x:c r="C18" s="465" t="n">
        <x:f>IF(C7=0,0,C16/C7)</x:f>
        <x:v>0</x:v>
      </x:c>
      <x:c r="D18" s="465" t="n">
        <x:f>IF(D7=0,0,D16/D7)</x:f>
        <x:v>-1.4167613085922945</x:v>
      </x:c>
      <x:c r="E18" s="465" t="n">
        <x:f>IF(E7=0,0,E16/E7)</x:f>
        <x:v>-0.8322054934973827</x:v>
      </x:c>
      <x:c r="F18" s="465" t="n">
        <x:f>IF(F7=0,0,F16/F7)</x:f>
        <x:v>-0.35725389373276695</x:v>
      </x:c>
      <x:c r="G18" s="465" t="n">
        <x:f>IF(G7=0,0,G16/G7)</x:f>
        <x:v>-0.35725389373276695</x:v>
      </x:c>
      <x:c r="H18" s="465" t="n">
        <x:f>IF(H7=0,0,H16/H7)</x:f>
        <x:v>0.2515239324988755</x:v>
      </x:c>
      <x:c r="I18" s="465" t="n">
        <x:f>IF(I7=0,0,I16/I7)</x:f>
        <x:v>0.3544742606821041</x:v>
      </x:c>
      <x:c r="J18" s="465" t="n">
        <x:f>IF(J7=0,0,J16/J7)</x:f>
        <x:v>0.3685003988413321</x:v>
      </x:c>
      <x:c r="K18" s="465" t="n">
        <x:f>IF(K7=0,0,K16/K7)</x:f>
        <x:v>0.333453556639178</x:v>
      </x:c>
      <x:c r="L18" s="465" t="n">
        <x:f>IF(L7=0,0,L16/L7)</x:f>
        <x:v>0.3685003988413321</x:v>
      </x:c>
      <x:c r="M18" s="465" t="n">
        <x:f>IF(M7=0,0,M16/M7)</x:f>
        <x:v>0.3685003988413321</x:v>
      </x:c>
      <x:c r="N18" s="465" t="n">
        <x:f>IF(N7=0,0,N16/N7)</x:f>
        <x:v>0.333453556639178</x:v>
      </x:c>
      <x:c r="O18" s="465" t="n">
        <x:f>IF(O7=0,0,O16/O7)</x:f>
        <x:v>0.3685003988413321</x:v>
      </x:c>
      <x:c r="P18" s="465" t="n">
        <x:f>IF(P7=0,0,P16/P7)</x:f>
        <x:v>0.3651536277800433</x:v>
      </x:c>
      <x:c r="Q18" s="465" t="n">
        <x:f>IF(Q7=0,0,Q16/Q7)</x:f>
        <x:v>0.3503342859223124</x:v>
      </x:c>
      <x:c r="R18" s="465" t="n">
        <x:f>IF(R7=0,0,R16/R7)</x:f>
        <x:v>0.36087389222783867</x:v>
      </x:c>
      <x:c r="S18" s="465" t="n">
        <x:f>IF(S7=0,0,S16/S7)</x:f>
        <x:v>0.36693572394464374</x:v>
      </x:c>
      <x:c r="T18" s="465" t="n">
        <x:f>IF(T7=0,0,T16/T7)</x:f>
        <x:v>0.3446241868423912</x:v>
      </x:c>
      <x:c r="U18" s="465" t="n">
        <x:f>IF(U7=0,0,U16/U7)</x:f>
        <x:v>0.3576278038601982</x:v>
      </x:c>
      <x:c r="V18" s="465" t="n">
        <x:f>IF(V7=0,0,V16/V7)</x:f>
        <x:v>0.34455094306120215</x:v>
      </x:c>
    </x:row>
    <x:row r="19">
      <x:c r="A19" s="61" t="str">
        <x:v>Cumulative tax provision / liquidity reserve</x:v>
      </x:c>
      <x:c r="B19" s="455" t="n">
        <x:f>B15</x:f>
        <x:v>0</x:v>
      </x:c>
      <x:c r="C19" s="455" t="n">
        <x:f>B19+C15</x:f>
        <x:v>0</x:v>
      </x:c>
      <x:c r="D19" s="455" t="n">
        <x:f>C19+D15</x:f>
        <x:v>0</x:v>
      </x:c>
      <x:c r="E19" s="455" t="n">
        <x:f>D19+E15</x:f>
        <x:v>0</x:v>
      </x:c>
      <x:c r="F19" s="455" t="n">
        <x:f>E19+F15</x:f>
        <x:v>0</x:v>
      </x:c>
      <x:c r="G19" s="455" t="n">
        <x:f>F19+G15</x:f>
        <x:v>0</x:v>
      </x:c>
      <x:c r="H19" s="455" t="n">
        <x:f>G19+H15</x:f>
        <x:v>18018.33611111111</x:v>
      </x:c>
      <x:c r="I19" s="455" t="n">
        <x:f>H19+I15</x:f>
        <x:v>40307.45607638889</x:v>
      </x:c>
      <x:c r="J19" s="455" t="n">
        <x:f>I19+J15</x:f>
        <x:v>70591.74010416667</x:v>
      </x:c>
      <x:c r="K19" s="455" t="n">
        <x:f>J19+K15</x:f>
        <x:v>120226.02413194446</x:v>
      </x:c>
      <x:c r="L19" s="455" t="n">
        <x:f>K19+L15</x:f>
        <x:v>150510.30815972225</x:v>
      </x:c>
      <x:c r="M19" s="455" t="n">
        <x:f>L19+M15</x:f>
        <x:v>180794.59218750003</x:v>
      </x:c>
      <x:c r="N19" s="455" t="n">
        <x:f>M19+N15</x:f>
        <x:v>230428.87621527782</x:v>
      </x:c>
      <x:c r="O19" s="455" t="n">
        <x:f>N19+O15</x:f>
        <x:v>260713.1602430556</x:v>
      </x:c>
      <x:c r="P19" s="455" t="n">
        <x:f>O19+P15</x:f>
        <x:v>318916.8227430556</x:v>
      </x:c>
      <x:c r="Q19" s="455" t="n">
        <x:f>P19+Q15</x:f>
        <x:v>407130.70399305556</x:v>
      </x:c>
      <x:c r="R19" s="455" t="n">
        <x:f>Q19+R15</x:f>
        <x:v>515736.1529513889</x:v>
      </x:c>
      <x:c r="S19" s="455" t="n">
        <x:f>R19+S15</x:f>
        <x:v>640331.9300347223</x:v>
      </x:c>
      <x:c r="T19" s="455" t="n">
        <x:f>S19+T15</x:f>
        <x:v>826892.8694444445</x:v>
      </x:c>
      <x:c r="U19" s="455" t="n">
        <x:f>T19+U15</x:f>
        <x:v>1012759.1916666668</x:v>
      </x:c>
      <x:c r="V19" s="455" t="n">
        <x:f>U19+V15</x:f>
        <x:v>1324847.40625</x:v>
      </x:c>
    </x:row>
    <x:row r="20">
      <x:c r="A20" s="61"/>
      <x:c r="B20" s="61"/>
      <x:c r="C20" s="61"/>
      <x:c r="D20" s="61"/>
      <x:c r="E20" s="61"/>
      <x:c r="F20" s="61"/>
      <x:c r="G20" s="61"/>
      <x:c r="H20" s="61"/>
      <x:c r="I20" s="61"/>
      <x:c r="J20" s="61"/>
      <x:c r="K20" s="61"/>
      <x:c r="L20" s="61"/>
      <x:c r="M20" s="61"/>
      <x:c r="N20" s="61"/>
      <x:c r="O20" s="61"/>
      <x:c r="P20" s="61"/>
      <x:c r="Q20" s="61"/>
      <x:c r="R20" s="61"/>
      <x:c r="S20" s="61"/>
      <x:c r="T20" s="61"/>
      <x:c r="U20" s="61"/>
      <x:c r="V20" s="61"/>
    </x:row>
    <x:row r="21">
      <x:c r="A21" s="61"/>
      <x:c r="B21" s="61"/>
      <x:c r="C21" s="61"/>
      <x:c r="D21" s="61"/>
      <x:c r="E21" s="61"/>
      <x:c r="F21" s="61"/>
      <x:c r="G21" s="61"/>
      <x:c r="H21" s="61"/>
      <x:c r="I21" s="61"/>
      <x:c r="J21" s="61"/>
      <x:c r="K21" s="61"/>
      <x:c r="L21" s="61"/>
      <x:c r="M21" s="61"/>
      <x:c r="N21" s="61"/>
      <x:c r="O21" s="61"/>
      <x:c r="P21" s="61"/>
      <x:c r="Q21" s="61"/>
      <x:c r="R21" s="61"/>
      <x:c r="S21" s="61"/>
      <x:c r="T21" s="61"/>
      <x:c r="U21" s="61"/>
      <x:c r="V21" s="61"/>
    </x:row>
    <x:row r="22">
      <x:c r="A22" s="61"/>
      <x:c r="B22" s="61"/>
      <x:c r="C22" s="61"/>
      <x:c r="D22" s="61"/>
      <x:c r="E22" s="61"/>
      <x:c r="F22" s="61"/>
      <x:c r="G22" s="61"/>
      <x:c r="H22" s="61"/>
      <x:c r="I22" s="61"/>
      <x:c r="J22" s="61"/>
      <x:c r="K22" s="61"/>
      <x:c r="L22" s="61"/>
      <x:c r="M22" s="61"/>
      <x:c r="N22" s="61"/>
      <x:c r="O22" s="61"/>
      <x:c r="P22" s="61"/>
      <x:c r="Q22" s="61"/>
      <x:c r="R22" s="61"/>
      <x:c r="S22" s="61"/>
      <x:c r="T22" s="61"/>
      <x:c r="U22" s="61"/>
      <x:c r="V22" s="61"/>
    </x:row>
    <x:row r="23">
      <x:c r="A23" s="453" t="str">
        <x:v>SCENARIO 2 — INSTITUTIONAL ACCELERATION</x:v>
      </x:c>
      <x:c r="B23" s="453"/>
      <x:c r="C23" s="453"/>
      <x:c r="D23" s="453"/>
      <x:c r="E23" s="453"/>
      <x:c r="F23" s="453"/>
      <x:c r="G23" s="453"/>
      <x:c r="H23" s="453"/>
      <x:c r="I23" s="453"/>
      <x:c r="J23" s="453"/>
      <x:c r="K23" s="453"/>
      <x:c r="L23" s="453"/>
      <x:c r="M23" s="453"/>
      <x:c r="N23" s="453"/>
      <x:c r="O23" s="453"/>
      <x:c r="P23" s="453"/>
      <x:c r="Q23" s="453"/>
      <x:c r="R23" s="453"/>
      <x:c r="S23" s="453"/>
      <x:c r="T23" s="453"/>
      <x:c r="U23" s="453"/>
      <x:c r="V23" s="453"/>
    </x:row>
    <x:row r="24">
      <x:c r="A24" s="61" t="str">
        <x:v>Gross revenue</x:v>
      </x:c>
      <x:c r="B24" s="455" t="n">
        <x:f>'Scenario 2 Fund'!B63</x:f>
        <x:v>0</x:v>
      </x:c>
      <x:c r="C24" s="455" t="n">
        <x:f>'Scenario 2 Fund'!C63</x:f>
        <x:v>0</x:v>
      </x:c>
      <x:c r="D24" s="455" t="n">
        <x:f>'Scenario 2 Fund'!D63</x:f>
        <x:v>7455</x:v>
      </x:c>
      <x:c r="E24" s="455" t="n">
        <x:f>'Scenario 2 Fund'!E63</x:f>
        <x:v>10295</x:v>
      </x:c>
      <x:c r="F24" s="455" t="n">
        <x:f>'Scenario 2 Fund'!F63</x:f>
        <x:v>14910</x:v>
      </x:c>
      <x:c r="G24" s="455" t="n">
        <x:f>'Scenario 2 Fund'!G63</x:f>
        <x:v>14910</x:v>
      </x:c>
      <x:c r="H24" s="455" t="n">
        <x:f>'Scenario 2 Fund'!H63</x:f>
        <x:v>214910</x:v>
      </x:c>
      <x:c r="I24" s="455" t="n">
        <x:f>'Scenario 2 Fund'!I63</x:f>
        <x:v>188638.125</x:v>
      </x:c>
      <x:c r="J24" s="455" t="n">
        <x:f>'Scenario 2 Fund'!J63</x:f>
        <x:v>246547.5</x:v>
      </x:c>
      <x:c r="K24" s="455" t="n">
        <x:f>'Scenario 2 Fund'!K63</x:f>
        <x:v>446547.5</x:v>
      </x:c>
      <x:c r="L24" s="455" t="n">
        <x:f>'Scenario 2 Fund'!L63</x:f>
        <x:v>246547.5</x:v>
      </x:c>
      <x:c r="M24" s="455" t="n">
        <x:f>'Scenario 2 Fund'!M63</x:f>
        <x:v>246547.5</x:v>
      </x:c>
      <x:c r="N24" s="455" t="n">
        <x:f>'Scenario 2 Fund'!N63</x:f>
        <x:v>1025641.25</x:v>
      </x:c>
      <x:c r="O24" s="455" t="n">
        <x:f>'Scenario 2 Fund'!O63</x:f>
        <x:v>1597766.25</x:v>
      </x:c>
      <x:c r="P24" s="455" t="n">
        <x:f>'Scenario 2 Fund'!P63</x:f>
        <x:v>2369891.25</x:v>
      </x:c>
      <x:c r="Q24" s="455" t="n">
        <x:f>'Scenario 2 Fund'!Q63</x:f>
        <x:v>3921110</x:v>
      </x:c>
      <x:c r="R24" s="455" t="n">
        <x:f>'Scenario 2 Fund'!R63</x:f>
        <x:v>4107172.5</x:v>
      </x:c>
      <x:c r="S24" s="455" t="n">
        <x:f>'Scenario 2 Fund'!S63</x:f>
        <x:v>5265360</x:v>
      </x:c>
      <x:c r="T24" s="455" t="n">
        <x:f>'Scenario 2 Fund'!T63</x:f>
        <x:v>5851422.5</x:v>
      </x:c>
      <x:c r="U24" s="455" t="n">
        <x:f>'Scenario 2 Fund'!U63</x:f>
        <x:v>7388703.75</x:v>
      </x:c>
      <x:c r="V24" s="455" t="n">
        <x:f>'Scenario 2 Fund'!V63</x:f>
        <x:v>7967797.5</x:v>
      </x:c>
    </x:row>
    <x:row r="25">
      <x:c r="A25" s="61" t="str">
        <x:v>Net revenue retained</x:v>
      </x:c>
      <x:c r="B25" s="455" t="n">
        <x:f>'Scenario 2 Fund'!B64</x:f>
        <x:v>0</x:v>
      </x:c>
      <x:c r="C25" s="455" t="n">
        <x:f>'Scenario 2 Fund'!C64</x:f>
        <x:v>0</x:v>
      </x:c>
      <x:c r="D25" s="455" t="n">
        <x:f>'Scenario 2 Fund'!D64</x:f>
        <x:v>7455</x:v>
      </x:c>
      <x:c r="E25" s="455" t="n">
        <x:f>'Scenario 2 Fund'!E64</x:f>
        <x:v>10295</x:v>
      </x:c>
      <x:c r="F25" s="455" t="n">
        <x:f>'Scenario 2 Fund'!F64</x:f>
        <x:v>14910</x:v>
      </x:c>
      <x:c r="G25" s="455" t="n">
        <x:f>'Scenario 2 Fund'!G64</x:f>
        <x:v>14910</x:v>
      </x:c>
      <x:c r="H25" s="455" t="n">
        <x:f>'Scenario 2 Fund'!H64</x:f>
        <x:v>134910</x:v>
      </x:c>
      <x:c r="I25" s="455" t="n">
        <x:f>'Scenario 2 Fund'!I64</x:f>
        <x:v>188638.125</x:v>
      </x:c>
      <x:c r="J25" s="455" t="n">
        <x:f>'Scenario 2 Fund'!J64</x:f>
        <x:v>246547.5</x:v>
      </x:c>
      <x:c r="K25" s="455" t="n">
        <x:f>'Scenario 2 Fund'!K64</x:f>
        <x:v>366547.5</x:v>
      </x:c>
      <x:c r="L25" s="455" t="n">
        <x:f>'Scenario 2 Fund'!L64</x:f>
        <x:v>246547.5</x:v>
      </x:c>
      <x:c r="M25" s="455" t="n">
        <x:f>'Scenario 2 Fund'!M64</x:f>
        <x:v>246547.5</x:v>
      </x:c>
      <x:c r="N25" s="455" t="n">
        <x:f>'Scenario 2 Fund'!N64</x:f>
        <x:v>945641.25</x:v>
      </x:c>
      <x:c r="O25" s="455" t="n">
        <x:f>'Scenario 2 Fund'!O64</x:f>
        <x:v>1597766.25</x:v>
      </x:c>
      <x:c r="P25" s="455" t="n">
        <x:f>'Scenario 2 Fund'!P64</x:f>
        <x:v>2369891.25</x:v>
      </x:c>
      <x:c r="Q25" s="455" t="n">
        <x:f>'Scenario 2 Fund'!Q64</x:f>
        <x:v>3841110</x:v>
      </x:c>
      <x:c r="R25" s="455" t="n">
        <x:f>'Scenario 2 Fund'!R64</x:f>
        <x:v>4107172.5</x:v>
      </x:c>
      <x:c r="S25" s="455" t="n">
        <x:f>'Scenario 2 Fund'!S64</x:f>
        <x:v>5265360</x:v>
      </x:c>
      <x:c r="T25" s="455" t="n">
        <x:f>'Scenario 2 Fund'!T64</x:f>
        <x:v>5771422.5</x:v>
      </x:c>
      <x:c r="U25" s="455" t="n">
        <x:f>'Scenario 2 Fund'!U64</x:f>
        <x:v>7388703.75</x:v>
      </x:c>
      <x:c r="V25" s="455" t="n">
        <x:f>'Scenario 2 Fund'!V64</x:f>
        <x:v>7967797.5</x:v>
      </x:c>
    </x:row>
    <x:row r="26">
      <x:c r="A26" s="61" t="str">
        <x:v>Variable costs</x:v>
      </x:c>
      <x:c r="B26" s="455" t="n">
        <x:f>'Scenario 2 Fund'!B65</x:f>
        <x:v>0</x:v>
      </x:c>
      <x:c r="C26" s="455" t="n">
        <x:f>'Scenario 2 Fund'!C65</x:f>
        <x:v>0</x:v>
      </x:c>
      <x:c r="D26" s="455" t="n">
        <x:f>'Scenario 2 Fund'!D65</x:f>
        <x:v>2219.7</x:v>
      </x:c>
      <x:c r="E26" s="455" t="n">
        <x:f>'Scenario 2 Fund'!E65</x:f>
        <x:v>3065.2999999999997</x:v>
      </x:c>
      <x:c r="F26" s="455" t="n">
        <x:f>'Scenario 2 Fund'!F65</x:f>
        <x:v>4439.4</x:v>
      </x:c>
      <x:c r="G26" s="455" t="n">
        <x:f>'Scenario 2 Fund'!G65</x:f>
        <x:v>4439.4</x:v>
      </x:c>
      <x:c r="H26" s="455" t="n">
        <x:f>'Scenario 2 Fund'!H65</x:f>
        <x:v>127039.4</x:v>
      </x:c>
      <x:c r="I26" s="455" t="n">
        <x:f>'Scenario 2 Fund'!I65</x:f>
        <x:v>82225.55625</x:v>
      </x:c>
      <x:c r="J26" s="455" t="n">
        <x:f>'Scenario 2 Fund'!J65</x:f>
        <x:v>108154.275</x:v>
      </x:c>
      <x:c r="K26" s="455" t="n">
        <x:f>'Scenario 2 Fund'!K65</x:f>
        <x:v>230754.275</x:v>
      </x:c>
      <x:c r="L26" s="455" t="n">
        <x:f>'Scenario 2 Fund'!L65</x:f>
        <x:v>108154.275</x:v>
      </x:c>
      <x:c r="M26" s="455" t="n">
        <x:f>'Scenario 2 Fund'!M65</x:f>
        <x:v>108154.275</x:v>
      </x:c>
      <x:c r="N26" s="455" t="n">
        <x:f>'Scenario 2 Fund'!N65</x:f>
        <x:v>490041.46249999997</x:v>
      </x:c>
      <x:c r="O26" s="455" t="n">
        <x:f>'Scenario 2 Fund'!O65</x:f>
        <x:v>713157.7124999999</x:v>
      </x:c>
      <x:c r="P26" s="455" t="n">
        <x:f>'Scenario 2 Fund'!P65</x:f>
        <x:v>1058873.9625</x:v>
      </x:c>
      <x:c r="Q26" s="455" t="n">
        <x:f>'Scenario 2 Fund'!Q65</x:f>
        <x:v>1786477.4</x:v>
      </x:c>
      <x:c r="R26" s="455" t="n">
        <x:f>'Scenario 2 Fund'!R65</x:f>
        <x:v>1836735.525</x:v>
      </x:c>
      <x:c r="S26" s="455" t="n">
        <x:f>'Scenario 2 Fund'!S65</x:f>
        <x:v>2355309.9</x:v>
      </x:c>
      <x:c r="T26" s="455" t="n">
        <x:f>'Scenario 2 Fund'!T65</x:f>
        <x:v>2650768.025</x:v>
      </x:c>
      <x:c r="U26" s="455" t="n">
        <x:f>'Scenario 2 Fund'!U65</x:f>
        <x:v>3306029.5875</x:v>
      </x:c>
      <x:c r="V26" s="455" t="n">
        <x:f>'Scenario 2 Fund'!V65</x:f>
        <x:v>3565316.775</x:v>
      </x:c>
    </x:row>
    <x:row r="27">
      <x:c r="A27" s="463" t="str">
        <x:v>Gross contribution</x:v>
      </x:c>
      <x:c r="B27" s="464" t="n">
        <x:f>'Scenario 2 Fund'!B66</x:f>
        <x:v>0</x:v>
      </x:c>
      <x:c r="C27" s="464" t="n">
        <x:f>'Scenario 2 Fund'!C66</x:f>
        <x:v>0</x:v>
      </x:c>
      <x:c r="D27" s="464" t="n">
        <x:f>'Scenario 2 Fund'!D66</x:f>
        <x:v>5235.3</x:v>
      </x:c>
      <x:c r="E27" s="464" t="n">
        <x:f>'Scenario 2 Fund'!E66</x:f>
        <x:v>7229.700000000001</x:v>
      </x:c>
      <x:c r="F27" s="464" t="n">
        <x:f>'Scenario 2 Fund'!F66</x:f>
        <x:v>10470.6</x:v>
      </x:c>
      <x:c r="G27" s="464" t="n">
        <x:f>'Scenario 2 Fund'!G66</x:f>
        <x:v>10470.6</x:v>
      </x:c>
      <x:c r="H27" s="464" t="n">
        <x:f>'Scenario 2 Fund'!H66</x:f>
        <x:v>87870.6</x:v>
      </x:c>
      <x:c r="I27" s="464" t="n">
        <x:f>'Scenario 2 Fund'!I66</x:f>
        <x:v>106412.56875</x:v>
      </x:c>
      <x:c r="J27" s="464" t="n">
        <x:f>'Scenario 2 Fund'!J66</x:f>
        <x:v>138393.225</x:v>
      </x:c>
      <x:c r="K27" s="464" t="n">
        <x:f>'Scenario 2 Fund'!K66</x:f>
        <x:v>215793.225</x:v>
      </x:c>
      <x:c r="L27" s="464" t="n">
        <x:f>'Scenario 2 Fund'!L66</x:f>
        <x:v>138393.225</x:v>
      </x:c>
      <x:c r="M27" s="464" t="n">
        <x:f>'Scenario 2 Fund'!M66</x:f>
        <x:v>138393.225</x:v>
      </x:c>
      <x:c r="N27" s="464" t="n">
        <x:f>'Scenario 2 Fund'!N66</x:f>
        <x:v>535599.7875000001</x:v>
      </x:c>
      <x:c r="O27" s="464" t="n">
        <x:f>'Scenario 2 Fund'!O66</x:f>
        <x:v>884608.5375000001</x:v>
      </x:c>
      <x:c r="P27" s="464" t="n">
        <x:f>'Scenario 2 Fund'!P66</x:f>
        <x:v>1311017.2875</x:v>
      </x:c>
      <x:c r="Q27" s="464" t="n">
        <x:f>'Scenario 2 Fund'!Q66</x:f>
        <x:v>2134632.6</x:v>
      </x:c>
      <x:c r="R27" s="464" t="n">
        <x:f>'Scenario 2 Fund'!R66</x:f>
        <x:v>2270436.975</x:v>
      </x:c>
      <x:c r="S27" s="464" t="n">
        <x:f>'Scenario 2 Fund'!S66</x:f>
        <x:v>2910050.1</x:v>
      </x:c>
      <x:c r="T27" s="464" t="n">
        <x:f>'Scenario 2 Fund'!T66</x:f>
        <x:v>3200654.475</x:v>
      </x:c>
      <x:c r="U27" s="464" t="n">
        <x:f>'Scenario 2 Fund'!U66</x:f>
        <x:v>4082674.1625</x:v>
      </x:c>
      <x:c r="V27" s="464" t="n">
        <x:f>'Scenario 2 Fund'!V66</x:f>
        <x:v>4402480.725</x:v>
      </x:c>
    </x:row>
    <x:row r="28">
      <x:c r="A28" s="61" t="str">
        <x:v>Personnel &amp; fixed OPEX</x:v>
      </x:c>
      <x:c r="B28" s="455" t="n">
        <x:f>'Scenario 2 Fund'!B67</x:f>
        <x:v>0</x:v>
      </x:c>
      <x:c r="C28" s="455" t="n">
        <x:f>'Scenario 2 Fund'!C67</x:f>
        <x:v>15700</x:v>
      </x:c>
      <x:c r="D28" s="455" t="n">
        <x:f>'Scenario 2 Fund'!D67</x:f>
        <x:v>15700</x:v>
      </x:c>
      <x:c r="E28" s="455" t="n">
        <x:f>'Scenario 2 Fund'!E67</x:f>
        <x:v>15700</x:v>
      </x:c>
      <x:c r="F28" s="455" t="n">
        <x:f>'Scenario 2 Fund'!F67</x:f>
        <x:v>15700</x:v>
      </x:c>
      <x:c r="G28" s="455" t="n">
        <x:f>'Scenario 2 Fund'!G67</x:f>
        <x:v>15700</x:v>
      </x:c>
      <x:c r="H28" s="455" t="n">
        <x:f>'Scenario 2 Fund'!H67</x:f>
        <x:v>15700</x:v>
      </x:c>
      <x:c r="I28" s="455" t="n">
        <x:f>'Scenario 2 Fund'!I67</x:f>
        <x:v>15700</x:v>
      </x:c>
      <x:c r="J28" s="455" t="n">
        <x:f>'Scenario 2 Fund'!J67</x:f>
        <x:v>15700</x:v>
      </x:c>
      <x:c r="K28" s="455" t="n">
        <x:f>'Scenario 2 Fund'!K67</x:f>
        <x:v>15700</x:v>
      </x:c>
      <x:c r="L28" s="455" t="n">
        <x:f>'Scenario 2 Fund'!L67</x:f>
        <x:v>15700</x:v>
      </x:c>
      <x:c r="M28" s="455" t="n">
        <x:f>'Scenario 2 Fund'!M67</x:f>
        <x:v>15700</x:v>
      </x:c>
      <x:c r="N28" s="455" t="n">
        <x:f>'Scenario 2 Fund'!N67</x:f>
        <x:v>60000</x:v>
      </x:c>
      <x:c r="O28" s="455" t="n">
        <x:f>'Scenario 2 Fund'!O67</x:f>
        <x:v>110000</x:v>
      </x:c>
      <x:c r="P28" s="455" t="n">
        <x:f>'Scenario 2 Fund'!P67</x:f>
        <x:v>180000</x:v>
      </x:c>
      <x:c r="Q28" s="455" t="n">
        <x:f>'Scenario 2 Fund'!Q67</x:f>
        <x:v>302467.2399395251</x:v>
      </x:c>
      <x:c r="R28" s="455" t="n">
        <x:f>'Scenario 2 Fund'!R67</x:f>
        <x:v>302467.2399395251</x:v>
      </x:c>
      <x:c r="S28" s="455" t="n">
        <x:f>'Scenario 2 Fund'!S67</x:f>
        <x:v>389775.4228844533</x:v>
      </x:c>
      <x:c r="T28" s="455" t="n">
        <x:f>'Scenario 2 Fund'!T67</x:f>
        <x:v>389775.4228844533</x:v>
      </x:c>
      <x:c r="U28" s="455" t="n">
        <x:f>'Scenario 2 Fund'!U67</x:f>
        <x:v>514832.12633281323</x:v>
      </x:c>
      <x:c r="V28" s="455" t="n">
        <x:f>'Scenario 2 Fund'!V67</x:f>
        <x:v>514832.12633281323</x:v>
      </x:c>
    </x:row>
    <x:row r="29">
      <x:c r="A29" s="463" t="str">
        <x:v>EBITDA</x:v>
      </x:c>
      <x:c r="B29" s="464" t="n">
        <x:f>'Scenario 2 Fund'!B68</x:f>
        <x:v>0</x:v>
      </x:c>
      <x:c r="C29" s="464" t="n">
        <x:f>'Scenario 2 Fund'!C68</x:f>
        <x:v>-15700</x:v>
      </x:c>
      <x:c r="D29" s="464" t="n">
        <x:f>'Scenario 2 Fund'!D68</x:f>
        <x:v>-10464.7</x:v>
      </x:c>
      <x:c r="E29" s="464" t="n">
        <x:f>'Scenario 2 Fund'!E68</x:f>
        <x:v>-8470.3</x:v>
      </x:c>
      <x:c r="F29" s="464" t="n">
        <x:f>'Scenario 2 Fund'!F68</x:f>
        <x:v>-5229.4</x:v>
      </x:c>
      <x:c r="G29" s="464" t="n">
        <x:f>'Scenario 2 Fund'!G68</x:f>
        <x:v>-5229.4</x:v>
      </x:c>
      <x:c r="H29" s="464" t="n">
        <x:f>'Scenario 2 Fund'!H68</x:f>
        <x:v>72170.6</x:v>
      </x:c>
      <x:c r="I29" s="464" t="n">
        <x:f>'Scenario 2 Fund'!I68</x:f>
        <x:v>90712.56875</x:v>
      </x:c>
      <x:c r="J29" s="464" t="n">
        <x:f>'Scenario 2 Fund'!J68</x:f>
        <x:v>122693.225</x:v>
      </x:c>
      <x:c r="K29" s="464" t="n">
        <x:f>'Scenario 2 Fund'!K68</x:f>
        <x:v>200093.225</x:v>
      </x:c>
      <x:c r="L29" s="464" t="n">
        <x:f>'Scenario 2 Fund'!L68</x:f>
        <x:v>122693.225</x:v>
      </x:c>
      <x:c r="M29" s="464" t="n">
        <x:f>'Scenario 2 Fund'!M68</x:f>
        <x:v>122693.225</x:v>
      </x:c>
      <x:c r="N29" s="464" t="n">
        <x:f>'Scenario 2 Fund'!N68</x:f>
        <x:v>475599.7875000001</x:v>
      </x:c>
      <x:c r="O29" s="464" t="n">
        <x:f>'Scenario 2 Fund'!O68</x:f>
        <x:v>774608.5375000001</x:v>
      </x:c>
      <x:c r="P29" s="464" t="n">
        <x:f>'Scenario 2 Fund'!P68</x:f>
        <x:v>1131017.2875</x:v>
      </x:c>
      <x:c r="Q29" s="464" t="n">
        <x:f>'Scenario 2 Fund'!Q68</x:f>
        <x:v>1832165.360060475</x:v>
      </x:c>
      <x:c r="R29" s="464" t="n">
        <x:f>'Scenario 2 Fund'!R68</x:f>
        <x:v>1967969.735060475</x:v>
      </x:c>
      <x:c r="S29" s="464" t="n">
        <x:f>'Scenario 2 Fund'!S68</x:f>
        <x:v>2520274.6771155465</x:v>
      </x:c>
      <x:c r="T29" s="464" t="n">
        <x:f>'Scenario 2 Fund'!T68</x:f>
        <x:v>2810879.0521155465</x:v>
      </x:c>
      <x:c r="U29" s="464" t="n">
        <x:f>'Scenario 2 Fund'!U68</x:f>
        <x:v>3567842.0361671867</x:v>
      </x:c>
      <x:c r="V29" s="464" t="n">
        <x:f>'Scenario 2 Fund'!V68</x:f>
        <x:v>3887648.598667186</x:v>
      </x:c>
    </x:row>
    <x:row r="30">
      <x:c r="A30" s="61" t="str">
        <x:v>Depreciation &amp; amortisation</x:v>
      </x:c>
      <x:c r="B30" s="455" t="n">
        <x:f>'Scenario 2 Fund'!B18*(Assumptions!$B$37+Assumptions!$B$36)/Assumptions!$B$92</x:f>
        <x:v>0</x:v>
      </x:c>
      <x:c r="C30" s="455" t="n">
        <x:f>'Scenario 2 Fund'!C18*(Assumptions!$B$37+Assumptions!$B$36)/Assumptions!$B$92</x:f>
        <x:v>0</x:v>
      </x:c>
      <x:c r="D30" s="455" t="n">
        <x:f>'Scenario 2 Fund'!D18*(Assumptions!$B$37+Assumptions!$B$36)/Assumptions!$B$92</x:f>
        <x:v>97.25555555555556</x:v>
      </x:c>
      <x:c r="E30" s="455" t="n">
        <x:f>'Scenario 2 Fund'!E18*(Assumptions!$B$37+Assumptions!$B$36)/Assumptions!$B$92</x:f>
        <x:v>97.25555555555556</x:v>
      </x:c>
      <x:c r="F30" s="455" t="n">
        <x:f>'Scenario 2 Fund'!F18*(Assumptions!$B$37+Assumptions!$B$36)/Assumptions!$B$92</x:f>
        <x:v>97.25555555555556</x:v>
      </x:c>
      <x:c r="G30" s="455" t="n">
        <x:f>'Scenario 2 Fund'!G18*(Assumptions!$B$37+Assumptions!$B$36)/Assumptions!$B$92</x:f>
        <x:v>97.25555555555556</x:v>
      </x:c>
      <x:c r="H30" s="455" t="n">
        <x:f>'Scenario 2 Fund'!H18*(Assumptions!$B$37+Assumptions!$B$36)/Assumptions!$B$92</x:f>
        <x:v>97.25555555555556</x:v>
      </x:c>
      <x:c r="I30" s="455" t="n">
        <x:f>'Scenario 2 Fund'!I18*(Assumptions!$B$37+Assumptions!$B$36)/Assumptions!$B$92</x:f>
        <x:v>1556.088888888889</x:v>
      </x:c>
      <x:c r="J30" s="455" t="n">
        <x:f>'Scenario 2 Fund'!J18*(Assumptions!$B$37+Assumptions!$B$36)/Assumptions!$B$92</x:f>
        <x:v>1556.088888888889</x:v>
      </x:c>
      <x:c r="K30" s="455" t="n">
        <x:f>'Scenario 2 Fund'!K18*(Assumptions!$B$37+Assumptions!$B$36)/Assumptions!$B$92</x:f>
        <x:v>1556.088888888889</x:v>
      </x:c>
      <x:c r="L30" s="455" t="n">
        <x:f>'Scenario 2 Fund'!L18*(Assumptions!$B$37+Assumptions!$B$36)/Assumptions!$B$92</x:f>
        <x:v>1556.088888888889</x:v>
      </x:c>
      <x:c r="M30" s="455" t="n">
        <x:f>'Scenario 2 Fund'!M18*(Assumptions!$B$37+Assumptions!$B$36)/Assumptions!$B$92</x:f>
        <x:v>1556.088888888889</x:v>
      </x:c>
      <x:c r="N30" s="455" t="n">
        <x:f>'Scenario 2 Fund'!N18*(Assumptions!$B$37+Assumptions!$B$36)/Assumptions!$B$92</x:f>
        <x:v>6418.866666666668</x:v>
      </x:c>
      <x:c r="O30" s="455" t="n">
        <x:f>'Scenario 2 Fund'!O18*(Assumptions!$B$37+Assumptions!$B$36)/Assumptions!$B$92</x:f>
        <x:v>11281.644444444446</x:v>
      </x:c>
      <x:c r="P30" s="455" t="n">
        <x:f>'Scenario 2 Fund'!P18*(Assumptions!$B$37+Assumptions!$B$36)/Assumptions!$B$92</x:f>
        <x:v>16144.422222222225</x:v>
      </x:c>
      <x:c r="Q30" s="455" t="n">
        <x:f>'Scenario 2 Fund'!Q18*(Assumptions!$B$37+Assumptions!$B$36)/Assumptions!$B$92</x:f>
        <x:v>25869.977777777778</x:v>
      </x:c>
      <x:c r="R30" s="455" t="n">
        <x:f>'Scenario 2 Fund'!R18*(Assumptions!$B$37+Assumptions!$B$36)/Assumptions!$B$92</x:f>
        <x:v>25869.977777777778</x:v>
      </x:c>
      <x:c r="S30" s="455" t="n">
        <x:f>'Scenario 2 Fund'!S18*(Assumptions!$B$37+Assumptions!$B$36)/Assumptions!$B$92</x:f>
        <x:v>35595.53333333333</x:v>
      </x:c>
      <x:c r="T30" s="455" t="n">
        <x:f>'Scenario 2 Fund'!T18*(Assumptions!$B$37+Assumptions!$B$36)/Assumptions!$B$92</x:f>
        <x:v>35595.53333333333</x:v>
      </x:c>
      <x:c r="U30" s="455" t="n">
        <x:f>'Scenario 2 Fund'!U18*(Assumptions!$B$37+Assumptions!$B$36)/Assumptions!$B$92</x:f>
        <x:v>50183.866666666676</x:v>
      </x:c>
      <x:c r="V30" s="455" t="n">
        <x:f>'Scenario 2 Fund'!V18*(Assumptions!$B$37+Assumptions!$B$36)/Assumptions!$B$92</x:f>
        <x:v>50183.866666666676</x:v>
      </x:c>
    </x:row>
    <x:row r="31">
      <x:c r="A31" s="463" t="str">
        <x:v>EBIT</x:v>
      </x:c>
      <x:c r="B31" s="464" t="n">
        <x:f>B29-B30</x:f>
        <x:v>0</x:v>
      </x:c>
      <x:c r="C31" s="464" t="n">
        <x:f>C29-C30</x:f>
        <x:v>-15700</x:v>
      </x:c>
      <x:c r="D31" s="464" t="n">
        <x:f>D29-D30</x:f>
        <x:v>-10561.955555555556</x:v>
      </x:c>
      <x:c r="E31" s="464" t="n">
        <x:f>E29-E30</x:f>
        <x:v>-8567.555555555555</x:v>
      </x:c>
      <x:c r="F31" s="464" t="n">
        <x:f>F29-F30</x:f>
        <x:v>-5326.655555555555</x:v>
      </x:c>
      <x:c r="G31" s="464" t="n">
        <x:f>G29-G30</x:f>
        <x:v>-5326.655555555555</x:v>
      </x:c>
      <x:c r="H31" s="464" t="n">
        <x:f>H29-H30</x:f>
        <x:v>72073.34444444445</x:v>
      </x:c>
      <x:c r="I31" s="464" t="n">
        <x:f>I29-I30</x:f>
        <x:v>89156.47986111112</x:v>
      </x:c>
      <x:c r="J31" s="464" t="n">
        <x:f>J29-J30</x:f>
        <x:v>121137.13611111112</x:v>
      </x:c>
      <x:c r="K31" s="464" t="n">
        <x:f>K29-K30</x:f>
        <x:v>198537.13611111112</x:v>
      </x:c>
      <x:c r="L31" s="464" t="n">
        <x:f>L29-L30</x:f>
        <x:v>121137.13611111112</x:v>
      </x:c>
      <x:c r="M31" s="464" t="n">
        <x:f>M29-M30</x:f>
        <x:v>121137.13611111112</x:v>
      </x:c>
      <x:c r="N31" s="464" t="n">
        <x:f>N29-N30</x:f>
        <x:v>469180.92083333345</x:v>
      </x:c>
      <x:c r="O31" s="464" t="n">
        <x:f>O29-O30</x:f>
        <x:v>763326.8930555556</x:v>
      </x:c>
      <x:c r="P31" s="464" t="n">
        <x:f>P29-P30</x:f>
        <x:v>1114872.865277778</x:v>
      </x:c>
      <x:c r="Q31" s="464" t="n">
        <x:f>Q29-Q30</x:f>
        <x:v>1806295.3822826974</x:v>
      </x:c>
      <x:c r="R31" s="464" t="n">
        <x:f>R29-R30</x:f>
        <x:v>1942099.7572826974</x:v>
      </x:c>
      <x:c r="S31" s="464" t="n">
        <x:f>S29-S30</x:f>
        <x:v>2484679.1437822133</x:v>
      </x:c>
      <x:c r="T31" s="464" t="n">
        <x:f>T29-T30</x:f>
        <x:v>2775283.5187822133</x:v>
      </x:c>
      <x:c r="U31" s="464" t="n">
        <x:f>U29-U30</x:f>
        <x:v>3517658.16950052</x:v>
      </x:c>
      <x:c r="V31" s="464" t="n">
        <x:f>V29-V30</x:f>
        <x:v>3837464.7320005195</x:v>
      </x:c>
    </x:row>
    <x:row r="32">
      <x:c r="A32" s="61" t="str">
        <x:v>Corporate income tax provision</x:v>
      </x:c>
      <x:c r="B32" s="455" t="n">
        <x:f>MAX(0,B31*Assumptions!$B$91)</x:f>
        <x:v>0</x:v>
      </x:c>
      <x:c r="C32" s="455" t="n">
        <x:f>MAX(0,C31*Assumptions!$B$91)</x:f>
        <x:v>0</x:v>
      </x:c>
      <x:c r="D32" s="455" t="n">
        <x:f>MAX(0,D31*Assumptions!$B$91)</x:f>
        <x:v>0</x:v>
      </x:c>
      <x:c r="E32" s="455" t="n">
        <x:f>MAX(0,E31*Assumptions!$B$91)</x:f>
        <x:v>0</x:v>
      </x:c>
      <x:c r="F32" s="455" t="n">
        <x:f>MAX(0,F31*Assumptions!$B$91)</x:f>
        <x:v>0</x:v>
      </x:c>
      <x:c r="G32" s="455" t="n">
        <x:f>MAX(0,G31*Assumptions!$B$91)</x:f>
        <x:v>0</x:v>
      </x:c>
      <x:c r="H32" s="455" t="n">
        <x:f>MAX(0,H31*Assumptions!$B$91)</x:f>
        <x:v>18018.33611111111</x:v>
      </x:c>
      <x:c r="I32" s="455" t="n">
        <x:f>MAX(0,I31*Assumptions!$B$91)</x:f>
        <x:v>22289.11996527778</x:v>
      </x:c>
      <x:c r="J32" s="455" t="n">
        <x:f>MAX(0,J31*Assumptions!$B$91)</x:f>
        <x:v>30284.28402777778</x:v>
      </x:c>
      <x:c r="K32" s="455" t="n">
        <x:f>MAX(0,K31*Assumptions!$B$91)</x:f>
        <x:v>49634.28402777778</x:v>
      </x:c>
      <x:c r="L32" s="455" t="n">
        <x:f>MAX(0,L31*Assumptions!$B$91)</x:f>
        <x:v>30284.28402777778</x:v>
      </x:c>
      <x:c r="M32" s="455" t="n">
        <x:f>MAX(0,M31*Assumptions!$B$91)</x:f>
        <x:v>30284.28402777778</x:v>
      </x:c>
      <x:c r="N32" s="455" t="n">
        <x:f>MAX(0,N31*Assumptions!$B$91)</x:f>
        <x:v>117295.23020833336</x:v>
      </x:c>
      <x:c r="O32" s="455" t="n">
        <x:f>MAX(0,O31*Assumptions!$B$91)</x:f>
        <x:v>190831.7232638889</x:v>
      </x:c>
      <x:c r="P32" s="455" t="n">
        <x:f>MAX(0,P31*Assumptions!$B$91)</x:f>
        <x:v>278718.2163194445</x:v>
      </x:c>
      <x:c r="Q32" s="455" t="n">
        <x:f>MAX(0,Q31*Assumptions!$B$91)</x:f>
        <x:v>451573.84557067434</x:v>
      </x:c>
      <x:c r="R32" s="455" t="n">
        <x:f>MAX(0,R31*Assumptions!$B$91)</x:f>
        <x:v>485524.93932067434</x:v>
      </x:c>
      <x:c r="S32" s="455" t="n">
        <x:f>MAX(0,S31*Assumptions!$B$91)</x:f>
        <x:v>621169.7859455533</x:v>
      </x:c>
      <x:c r="T32" s="455" t="n">
        <x:f>MAX(0,T31*Assumptions!$B$91)</x:f>
        <x:v>693820.8796955533</x:v>
      </x:c>
      <x:c r="U32" s="455" t="n">
        <x:f>MAX(0,U31*Assumptions!$B$91)</x:f>
        <x:v>879414.54237513</x:v>
      </x:c>
      <x:c r="V32" s="455" t="n">
        <x:f>MAX(0,V31*Assumptions!$B$91)</x:f>
        <x:v>959366.1830001299</x:v>
      </x:c>
    </x:row>
    <x:row r="33">
      <x:c r="A33" s="463" t="str">
        <x:v>Net income</x:v>
      </x:c>
      <x:c r="B33" s="464" t="n">
        <x:f>B31-B32</x:f>
        <x:v>0</x:v>
      </x:c>
      <x:c r="C33" s="464" t="n">
        <x:f>C31-C32</x:f>
        <x:v>-15700</x:v>
      </x:c>
      <x:c r="D33" s="464" t="n">
        <x:f>D31-D32</x:f>
        <x:v>-10561.955555555556</x:v>
      </x:c>
      <x:c r="E33" s="464" t="n">
        <x:f>E31-E32</x:f>
        <x:v>-8567.555555555555</x:v>
      </x:c>
      <x:c r="F33" s="464" t="n">
        <x:f>F31-F32</x:f>
        <x:v>-5326.655555555555</x:v>
      </x:c>
      <x:c r="G33" s="464" t="n">
        <x:f>G31-G32</x:f>
        <x:v>-5326.655555555555</x:v>
      </x:c>
      <x:c r="H33" s="464" t="n">
        <x:f>H31-H32</x:f>
        <x:v>54055.00833333333</x:v>
      </x:c>
      <x:c r="I33" s="464" t="n">
        <x:f>I31-I32</x:f>
        <x:v>66867.35989583333</x:v>
      </x:c>
      <x:c r="J33" s="464" t="n">
        <x:f>J31-J32</x:f>
        <x:v>90852.85208333333</x:v>
      </x:c>
      <x:c r="K33" s="464" t="n">
        <x:f>K31-K32</x:f>
        <x:v>148902.85208333333</x:v>
      </x:c>
      <x:c r="L33" s="464" t="n">
        <x:f>L31-L32</x:f>
        <x:v>90852.85208333333</x:v>
      </x:c>
      <x:c r="M33" s="464" t="n">
        <x:f>M31-M32</x:f>
        <x:v>90852.85208333333</x:v>
      </x:c>
      <x:c r="N33" s="464" t="n">
        <x:f>N31-N32</x:f>
        <x:v>351885.6906250001</x:v>
      </x:c>
      <x:c r="O33" s="464" t="n">
        <x:f>O31-O32</x:f>
        <x:v>572495.1697916668</x:v>
      </x:c>
      <x:c r="P33" s="464" t="n">
        <x:f>P31-P32</x:f>
        <x:v>836154.6489583334</x:v>
      </x:c>
      <x:c r="Q33" s="464" t="n">
        <x:f>Q31-Q32</x:f>
        <x:v>1354721.536712023</x:v>
      </x:c>
      <x:c r="R33" s="464" t="n">
        <x:f>R31-R32</x:f>
        <x:v>1456574.817962023</x:v>
      </x:c>
      <x:c r="S33" s="464" t="n">
        <x:f>S31-S32</x:f>
        <x:v>1863509.35783666</x:v>
      </x:c>
      <x:c r="T33" s="464" t="n">
        <x:f>T31-T32</x:f>
        <x:v>2081462.63908666</x:v>
      </x:c>
      <x:c r="U33" s="464" t="n">
        <x:f>U31-U32</x:f>
        <x:v>2638243.62712539</x:v>
      </x:c>
      <x:c r="V33" s="464" t="n">
        <x:f>V31-V32</x:f>
        <x:v>2878098.54900039</x:v>
      </x:c>
    </x:row>
    <x:row r="34">
      <x:c r="A34" s="61" t="str">
        <x:v>EBITDA margin</x:v>
      </x:c>
      <x:c r="B34" s="465" t="n">
        <x:f>IF(B24=0,0,B29/B24)</x:f>
        <x:v>0</x:v>
      </x:c>
      <x:c r="C34" s="465" t="n">
        <x:f>IF(C24=0,0,C29/C24)</x:f>
        <x:v>0</x:v>
      </x:c>
      <x:c r="D34" s="465" t="n">
        <x:f>IF(D24=0,0,D29/D24)</x:f>
        <x:v>-1.4037156270959088</x:v>
      </x:c>
      <x:c r="E34" s="465" t="n">
        <x:f>IF(E24=0,0,E29/E24)</x:f>
        <x:v>-0.8227586206896551</x:v>
      </x:c>
      <x:c r="F34" s="465" t="n">
        <x:f>IF(F24=0,0,F29/F24)</x:f>
        <x:v>-0.3507310529845741</x:v>
      </x:c>
      <x:c r="G34" s="465" t="n">
        <x:f>IF(G24=0,0,G29/G24)</x:f>
        <x:v>-0.3507310529845741</x:v>
      </x:c>
      <x:c r="H34" s="465" t="n">
        <x:f>IF(H24=0,0,H29/H24)</x:f>
        <x:v>0.3358177841887302</x:v>
      </x:c>
      <x:c r="I34" s="465" t="n">
        <x:f>IF(I24=0,0,I29/I24)</x:f>
        <x:v>0.4808814164687017</x:v>
      </x:c>
      <x:c r="J34" s="465" t="n">
        <x:f>IF(J24=0,0,J29/J24)</x:f>
        <x:v>0.49764538273557835</x:v>
      </x:c>
      <x:c r="K34" s="465" t="n">
        <x:f>IF(K24=0,0,K29/K24)</x:f>
        <x:v>0.44808945296972885</x:v>
      </x:c>
      <x:c r="L34" s="465" t="n">
        <x:f>IF(L24=0,0,L29/L24)</x:f>
        <x:v>0.49764538273557835</x:v>
      </x:c>
      <x:c r="M34" s="465" t="n">
        <x:f>IF(M24=0,0,M29/M24)</x:f>
        <x:v>0.49764538273557835</x:v>
      </x:c>
      <x:c r="N34" s="465" t="n">
        <x:f>IF(N24=0,0,N29/N24)</x:f>
        <x:v>0.4637096913760051</x:v>
      </x:c>
      <x:c r="O34" s="465" t="n">
        <x:f>IF(O24=0,0,O29/O24)</x:f>
        <x:v>0.48480717220056446</x:v>
      </x:c>
      <x:c r="P34" s="465" t="n">
        <x:f>IF(P24=0,0,P29/P24)</x:f>
        <x:v>0.47724438304922223</x:v>
      </x:c>
      <x:c r="Q34" s="465" t="n">
        <x:f>IF(Q24=0,0,Q29/Q24)</x:f>
        <x:v>0.46725681249964296</x:v>
      </x:c>
      <x:c r="R34" s="465" t="n">
        <x:f>IF(R24=0,0,R29/R24)</x:f>
        <x:v>0.47915439029173357</x:v>
      </x:c>
      <x:c r="S34" s="465" t="n">
        <x:f>IF(S24=0,0,S29/S24)</x:f>
        <x:v>0.47865192068833784</x:v>
      </x:c>
      <x:c r="T34" s="465" t="n">
        <x:f>IF(T24=0,0,T29/T24)</x:f>
        <x:v>0.4803753364443512</x:v>
      </x:c>
      <x:c r="U34" s="465" t="n">
        <x:f>IF(U24=0,0,U29/U24)</x:f>
        <x:v>0.4828779386596988</x:v>
      </x:c>
      <x:c r="V34" s="465" t="n">
        <x:f>IF(V24=0,0,V29/V24)</x:f>
        <x:v>0.48792010573401073</x:v>
      </x:c>
    </x:row>
    <x:row r="35">
      <x:c r="A35" s="61" t="str">
        <x:v>Net income margin</x:v>
      </x:c>
      <x:c r="B35" s="465" t="n">
        <x:f>IF(B24=0,0,B33/B24)</x:f>
        <x:v>0</x:v>
      </x:c>
      <x:c r="C35" s="465" t="n">
        <x:f>IF(C24=0,0,C33/C24)</x:f>
        <x:v>0</x:v>
      </x:c>
      <x:c r="D35" s="465" t="n">
        <x:f>IF(D24=0,0,D33/D24)</x:f>
        <x:v>-1.4167613085922945</x:v>
      </x:c>
      <x:c r="E35" s="465" t="n">
        <x:f>IF(E24=0,0,E33/E24)</x:f>
        <x:v>-0.8322054934973827</x:v>
      </x:c>
      <x:c r="F35" s="465" t="n">
        <x:f>IF(F24=0,0,F33/F24)</x:f>
        <x:v>-0.35725389373276695</x:v>
      </x:c>
      <x:c r="G35" s="465" t="n">
        <x:f>IF(G24=0,0,G33/G24)</x:f>
        <x:v>-0.35725389373276695</x:v>
      </x:c>
      <x:c r="H35" s="465" t="n">
        <x:f>IF(H24=0,0,H33/H24)</x:f>
        <x:v>0.2515239324988755</x:v>
      </x:c>
      <x:c r="I35" s="465" t="n">
        <x:f>IF(I24=0,0,I33/I24)</x:f>
        <x:v>0.3544742606821041</x:v>
      </x:c>
      <x:c r="J35" s="465" t="n">
        <x:f>IF(J24=0,0,J33/J24)</x:f>
        <x:v>0.3685003988413321</x:v>
      </x:c>
      <x:c r="K35" s="465" t="n">
        <x:f>IF(K24=0,0,K33/K24)</x:f>
        <x:v>0.333453556639178</x:v>
      </x:c>
      <x:c r="L35" s="465" t="n">
        <x:f>IF(L24=0,0,L33/L24)</x:f>
        <x:v>0.3685003988413321</x:v>
      </x:c>
      <x:c r="M35" s="465" t="n">
        <x:f>IF(M24=0,0,M33/M24)</x:f>
        <x:v>0.3685003988413321</x:v>
      </x:c>
      <x:c r="N35" s="465" t="n">
        <x:f>IF(N24=0,0,N33/N24)</x:f>
        <x:v>0.34308847330877157</x:v>
      </x:c>
      <x:c r="O35" s="465" t="n">
        <x:f>IF(O24=0,0,O33/O24)</x:f>
        <x:v>0.35830971507357023</x:v>
      </x:c>
      <x:c r="P35" s="465" t="n">
        <x:f>IF(P24=0,0,P33/P24)</x:f>
        <x:v>0.3528240584703342</x:v>
      </x:c>
      <x:c r="Q35" s="465" t="n">
        <x:f>IF(Q24=0,0,Q33/Q24)</x:f>
        <x:v>0.34549439743134547</x:v>
      </x:c>
      <x:c r="R35" s="465" t="n">
        <x:f>IF(R24=0,0,R33/R24)</x:f>
        <x:v>0.3546417439155582</x:v>
      </x:c>
      <x:c r="S35" s="465" t="n">
        <x:f>IF(S24=0,0,S33/S24)</x:f>
        <x:v>0.3539186984055525</x:v>
      </x:c>
      <x:c r="T35" s="465" t="n">
        <x:f>IF(T24=0,0,T33/T24)</x:f>
        <x:v>0.3557190818278222</x:v>
      </x:c>
      <x:c r="U35" s="465" t="n">
        <x:f>IF(U24=0,0,U33/U24)</x:f>
        <x:v>0.357064475230231</x:v>
      </x:c>
      <x:c r="V35" s="465" t="n">
        <x:f>IF(V24=0,0,V33/V24)</x:f>
        <x:v>0.3612163272222204</x:v>
      </x:c>
    </x:row>
    <x:row r="36">
      <x:c r="A36" s="61" t="str">
        <x:v>Cumulative tax provision / liquidity reserve</x:v>
      </x:c>
      <x:c r="B36" s="455" t="n">
        <x:f>B32</x:f>
        <x:v>0</x:v>
      </x:c>
      <x:c r="C36" s="455" t="n">
        <x:f>B36+C32</x:f>
        <x:v>0</x:v>
      </x:c>
      <x:c r="D36" s="455" t="n">
        <x:f>C36+D32</x:f>
        <x:v>0</x:v>
      </x:c>
      <x:c r="E36" s="455" t="n">
        <x:f>D36+E32</x:f>
        <x:v>0</x:v>
      </x:c>
      <x:c r="F36" s="455" t="n">
        <x:f>E36+F32</x:f>
        <x:v>0</x:v>
      </x:c>
      <x:c r="G36" s="455" t="n">
        <x:f>F36+G32</x:f>
        <x:v>0</x:v>
      </x:c>
      <x:c r="H36" s="455" t="n">
        <x:f>G36+H32</x:f>
        <x:v>18018.33611111111</x:v>
      </x:c>
      <x:c r="I36" s="455" t="n">
        <x:f>H36+I32</x:f>
        <x:v>40307.45607638889</x:v>
      </x:c>
      <x:c r="J36" s="455" t="n">
        <x:f>I36+J32</x:f>
        <x:v>70591.74010416667</x:v>
      </x:c>
      <x:c r="K36" s="455" t="n">
        <x:f>J36+K32</x:f>
        <x:v>120226.02413194446</x:v>
      </x:c>
      <x:c r="L36" s="455" t="n">
        <x:f>K36+L32</x:f>
        <x:v>150510.30815972225</x:v>
      </x:c>
      <x:c r="M36" s="455" t="n">
        <x:f>L36+M32</x:f>
        <x:v>180794.59218750003</x:v>
      </x:c>
      <x:c r="N36" s="455" t="n">
        <x:f>M36+N32</x:f>
        <x:v>298089.8223958334</x:v>
      </x:c>
      <x:c r="O36" s="455" t="n">
        <x:f>N36+O32</x:f>
        <x:v>488921.5456597223</x:v>
      </x:c>
      <x:c r="P36" s="455" t="n">
        <x:f>O36+P32</x:f>
        <x:v>767639.7619791668</x:v>
      </x:c>
      <x:c r="Q36" s="455" t="n">
        <x:f>P36+Q32</x:f>
        <x:v>1219213.607549841</x:v>
      </x:c>
      <x:c r="R36" s="455" t="n">
        <x:f>Q36+R32</x:f>
        <x:v>1704738.5468705154</x:v>
      </x:c>
      <x:c r="S36" s="455" t="n">
        <x:f>R36+S32</x:f>
        <x:v>2325908.332816069</x:v>
      </x:c>
      <x:c r="T36" s="455" t="n">
        <x:f>S36+T32</x:f>
        <x:v>3019729.2125116223</x:v>
      </x:c>
      <x:c r="U36" s="455" t="n">
        <x:f>T36+U32</x:f>
        <x:v>3899143.7548867525</x:v>
      </x:c>
      <x:c r="V36" s="455" t="n">
        <x:f>U36+V32</x:f>
        <x:v>4858509.937886883</x:v>
      </x:c>
    </x:row>
    <x:row r="37">
      <x:c r="A37" s="61"/>
      <x:c r="B37" s="61"/>
      <x:c r="C37" s="61"/>
      <x:c r="D37" s="61"/>
      <x:c r="E37" s="61"/>
      <x:c r="F37" s="61"/>
      <x:c r="G37" s="61"/>
      <x:c r="H37" s="61"/>
      <x:c r="I37" s="61"/>
      <x:c r="J37" s="61"/>
      <x:c r="K37" s="61"/>
      <x:c r="L37" s="61"/>
      <x:c r="M37" s="61"/>
      <x:c r="N37" s="61"/>
      <x:c r="O37" s="61"/>
      <x:c r="P37" s="61"/>
      <x:c r="Q37" s="61"/>
      <x:c r="R37" s="61"/>
      <x:c r="S37" s="61"/>
      <x:c r="T37" s="61"/>
      <x:c r="U37" s="61"/>
      <x:c r="V37" s="61"/>
    </x:row>
    <x:row r="38">
      <x:c r="A38" s="61"/>
      <x:c r="B38" s="61"/>
      <x:c r="C38" s="61"/>
      <x:c r="D38" s="61"/>
      <x:c r="E38" s="61"/>
      <x:c r="F38" s="61"/>
      <x:c r="G38" s="61"/>
      <x:c r="H38" s="61"/>
      <x:c r="I38" s="61"/>
      <x:c r="J38" s="61"/>
      <x:c r="K38" s="61"/>
      <x:c r="L38" s="61"/>
      <x:c r="M38" s="61"/>
      <x:c r="N38" s="61"/>
      <x:c r="O38" s="61"/>
      <x:c r="P38" s="61"/>
      <x:c r="Q38" s="61"/>
      <x:c r="R38" s="61"/>
      <x:c r="S38" s="61"/>
      <x:c r="T38" s="61"/>
      <x:c r="U38" s="61"/>
      <x:c r="V38" s="61"/>
    </x:row>
    <x:row r="39">
      <x:c r="A39" s="61"/>
      <x:c r="B39" s="61"/>
      <x:c r="C39" s="61"/>
      <x:c r="D39" s="61"/>
      <x:c r="E39" s="61"/>
      <x:c r="F39" s="61"/>
      <x:c r="G39" s="61"/>
      <x:c r="H39" s="61"/>
      <x:c r="I39" s="61"/>
      <x:c r="J39" s="61"/>
      <x:c r="K39" s="61"/>
      <x:c r="L39" s="61"/>
      <x:c r="M39" s="61"/>
      <x:c r="N39" s="61"/>
      <x:c r="O39" s="61"/>
      <x:c r="P39" s="61"/>
      <x:c r="Q39" s="61"/>
      <x:c r="R39" s="61"/>
      <x:c r="S39" s="61"/>
      <x:c r="T39" s="61"/>
      <x:c r="U39" s="61"/>
      <x:c r="V39" s="61"/>
    </x:row>
    <x:row r="40">
      <x:c r="A40" s="61"/>
      <x:c r="B40" s="61"/>
      <x:c r="C40" s="61"/>
      <x:c r="D40" s="61"/>
      <x:c r="E40" s="61"/>
      <x:c r="F40" s="61"/>
      <x:c r="G40" s="61"/>
      <x:c r="H40" s="61"/>
      <x:c r="I40" s="61"/>
      <x:c r="J40" s="61"/>
      <x:c r="K40" s="61"/>
      <x:c r="L40" s="61"/>
      <x:c r="M40" s="61"/>
      <x:c r="N40" s="61"/>
      <x:c r="O40" s="61"/>
      <x:c r="P40" s="61"/>
      <x:c r="Q40" s="61"/>
      <x:c r="R40" s="61"/>
      <x:c r="S40" s="61"/>
      <x:c r="T40" s="61"/>
      <x:c r="U40" s="61"/>
      <x:c r="V40" s="61"/>
    </x:row>
    <x:row r="41">
      <x:c r="A41" s="453" t="str">
        <x:v>21-MONTH PROFESSIONAL P&amp;L SUMMARY</x:v>
      </x:c>
      <x:c r="B41" s="453"/>
      <x:c r="C41" s="453"/>
      <x:c r="D41" s="453"/>
      <x:c r="E41" s="453"/>
      <x:c r="F41" s="453"/>
      <x:c r="G41" s="453"/>
      <x:c r="H41" s="453"/>
      <x:c r="I41" s="61"/>
      <x:c r="J41" s="61"/>
      <x:c r="K41" s="61"/>
      <x:c r="L41" s="61"/>
      <x:c r="M41" s="61"/>
      <x:c r="N41" s="61"/>
      <x:c r="O41" s="61"/>
      <x:c r="P41" s="61"/>
      <x:c r="Q41" s="61"/>
      <x:c r="R41" s="61"/>
      <x:c r="S41" s="61"/>
      <x:c r="T41" s="61"/>
      <x:c r="U41" s="61"/>
      <x:c r="V41" s="61"/>
    </x:row>
    <x:row r="42">
      <x:c r="A42" s="458" t="str">
        <x:v>Metric</x:v>
      </x:c>
      <x:c r="B42" s="458" t="str">
        <x:v>Scenario 1</x:v>
      </x:c>
      <x:c r="C42" s="458" t="str">
        <x:v>Scenario 2</x:v>
      </x:c>
      <x:c r="D42" s="458" t="str">
        <x:v>Investor reading</x:v>
      </x:c>
      <x:c r="E42" s="61"/>
      <x:c r="F42" s="61"/>
      <x:c r="G42" s="61"/>
      <x:c r="H42" s="61"/>
      <x:c r="I42" s="61"/>
      <x:c r="J42" s="61"/>
      <x:c r="K42" s="61"/>
      <x:c r="L42" s="61"/>
      <x:c r="M42" s="61"/>
      <x:c r="N42" s="61"/>
      <x:c r="O42" s="61"/>
      <x:c r="P42" s="61"/>
      <x:c r="Q42" s="61"/>
      <x:c r="R42" s="61"/>
      <x:c r="S42" s="61"/>
      <x:c r="T42" s="61"/>
      <x:c r="U42" s="61"/>
      <x:c r="V42" s="61"/>
    </x:row>
    <x:row r="43">
      <x:c r="A43" s="61" t="str">
        <x:v>Gross revenue</x:v>
      </x:c>
      <x:c r="B43" s="455" t="n">
        <x:f>SUM(B7:V7)</x:f>
        <x:v>11386057.5</x:v>
      </x:c>
      <x:c r="C43" s="455" t="n">
        <x:f>SUM(B24:V24)</x:f>
        <x:v>41132173.125</x:v>
      </x:c>
      <x:c r="D43" s="61" t="str">
        <x:v>Operating gross billings / vending revenue</x:v>
      </x:c>
      <x:c r="E43" s="61"/>
      <x:c r="F43" s="61"/>
      <x:c r="G43" s="61"/>
      <x:c r="H43" s="61"/>
      <x:c r="I43" s="61"/>
      <x:c r="J43" s="61"/>
      <x:c r="K43" s="61"/>
      <x:c r="L43" s="61"/>
      <x:c r="M43" s="61"/>
      <x:c r="N43" s="61"/>
      <x:c r="O43" s="61"/>
      <x:c r="P43" s="61"/>
      <x:c r="Q43" s="61"/>
      <x:c r="R43" s="61"/>
      <x:c r="S43" s="61"/>
      <x:c r="T43" s="61"/>
      <x:c r="U43" s="61"/>
      <x:c r="V43" s="61"/>
    </x:row>
    <x:row r="44">
      <x:c r="A44" s="61" t="str">
        <x:v>Net revenue retained</x:v>
      </x:c>
      <x:c r="B44" s="455" t="n">
        <x:f>SUM(B8:V8)</x:f>
        <x:v>10986057.5</x:v>
      </x:c>
      <x:c r="C44" s="455" t="n">
        <x:f>SUM(B25:V25)</x:f>
        <x:v>40732173.125</x:v>
      </x:c>
      <x:c r="D44" s="61" t="str">
        <x:v>After club revenue share</x:v>
      </x:c>
      <x:c r="E44" s="61"/>
      <x:c r="F44" s="61"/>
      <x:c r="G44" s="61"/>
      <x:c r="H44" s="61"/>
      <x:c r="I44" s="61"/>
      <x:c r="J44" s="61"/>
      <x:c r="K44" s="61"/>
      <x:c r="L44" s="61"/>
      <x:c r="M44" s="61"/>
      <x:c r="N44" s="61"/>
      <x:c r="O44" s="61"/>
      <x:c r="P44" s="61"/>
      <x:c r="Q44" s="61"/>
      <x:c r="R44" s="61"/>
      <x:c r="S44" s="61"/>
      <x:c r="T44" s="61"/>
      <x:c r="U44" s="61"/>
      <x:c r="V44" s="61"/>
    </x:row>
    <x:row r="45">
      <x:c r="A45" s="61" t="str">
        <x:v>Variable costs</x:v>
      </x:c>
      <x:c r="B45" s="455" t="n">
        <x:f>SUM(B9:V9)</x:f>
        <x:v>5222637.674999999</x:v>
      </x:c>
      <x:c r="C45" s="455" t="n">
        <x:f>SUM(B26:V26)</x:f>
        <x:v>18541356.20625</x:v>
      </x:c>
      <x:c r="D45" s="61" t="str">
        <x:v>Manufacturing, venue share, logistics, processing, handling and campaigns</x:v>
      </x:c>
      <x:c r="E45" s="61"/>
      <x:c r="F45" s="61"/>
      <x:c r="G45" s="61"/>
      <x:c r="H45" s="61"/>
      <x:c r="I45" s="61"/>
      <x:c r="J45" s="61"/>
      <x:c r="K45" s="61"/>
      <x:c r="L45" s="61"/>
      <x:c r="M45" s="61"/>
      <x:c r="N45" s="61"/>
      <x:c r="O45" s="61"/>
      <x:c r="P45" s="61"/>
      <x:c r="Q45" s="61"/>
      <x:c r="R45" s="61"/>
      <x:c r="S45" s="61"/>
      <x:c r="T45" s="61"/>
      <x:c r="U45" s="61"/>
      <x:c r="V45" s="61"/>
    </x:row>
    <x:row r="46">
      <x:c r="A46" s="61" t="str">
        <x:v>Personnel &amp; fixed OPEX</x:v>
      </x:c>
      <x:c r="B46" s="455" t="n">
        <x:f>SUM(B11:V11)</x:f>
        <x:v>839100</x:v>
      </x:c>
      <x:c r="C46" s="455" t="n">
        <x:f>SUM(B28:V28)</x:f>
        <x:v>2936849.5783135835</x:v>
      </x:c>
      <x:c r="D46" s="61" t="str">
        <x:v>Explicit cost envelope, scaled post-500</x:v>
      </x:c>
      <x:c r="E46" s="61"/>
      <x:c r="F46" s="61"/>
      <x:c r="G46" s="61"/>
      <x:c r="H46" s="61"/>
      <x:c r="I46" s="61"/>
      <x:c r="J46" s="61"/>
      <x:c r="K46" s="61"/>
      <x:c r="L46" s="61"/>
      <x:c r="M46" s="61"/>
      <x:c r="N46" s="61"/>
      <x:c r="O46" s="61"/>
      <x:c r="P46" s="61"/>
      <x:c r="Q46" s="61"/>
      <x:c r="R46" s="61"/>
      <x:c r="S46" s="61"/>
      <x:c r="T46" s="61"/>
      <x:c r="U46" s="61"/>
      <x:c r="V46" s="61"/>
    </x:row>
    <x:row r="47">
      <x:c r="A47" s="466" t="str">
        <x:v>EBITDA</x:v>
      </x:c>
      <x:c r="B47" s="467" t="n">
        <x:f>SUM(B12:V12)</x:f>
        <x:v>5324319.825</x:v>
      </x:c>
      <x:c r="C47" s="467" t="n">
        <x:f>SUM(B29:V29)</x:f>
        <x:v>19653967.340436418</x:v>
      </x:c>
      <x:c r="D47" s="466" t="str">
        <x:v>Core operating profitability</x:v>
      </x:c>
      <x:c r="E47" s="61"/>
      <x:c r="F47" s="61"/>
      <x:c r="G47" s="61"/>
      <x:c r="H47" s="61"/>
      <x:c r="I47" s="61"/>
      <x:c r="J47" s="61"/>
      <x:c r="K47" s="61"/>
      <x:c r="L47" s="61"/>
      <x:c r="M47" s="61"/>
      <x:c r="N47" s="61"/>
      <x:c r="O47" s="61"/>
      <x:c r="P47" s="61"/>
      <x:c r="Q47" s="61"/>
      <x:c r="R47" s="61"/>
      <x:c r="S47" s="61"/>
      <x:c r="T47" s="61"/>
      <x:c r="U47" s="61"/>
      <x:c r="V47" s="61"/>
    </x:row>
    <x:row r="48">
      <x:c r="A48" s="61" t="str">
        <x:v>D&amp;A</x:v>
      </x:c>
      <x:c r="B48" s="455" t="n">
        <x:f>SUM(B13:V13)</x:f>
        <x:v>70413.02222222224</x:v>
      </x:c>
      <x:c r="C48" s="455" t="n">
        <x:f>SUM(B30:V30)</x:f>
        <x:v>265410.4111111111</x:v>
      </x:c>
      <x:c r="D48" s="61" t="str">
        <x:v>60-month straight-line analytical proxy</x:v>
      </x:c>
      <x:c r="E48" s="61"/>
      <x:c r="F48" s="61"/>
      <x:c r="G48" s="61"/>
      <x:c r="H48" s="61"/>
      <x:c r="I48" s="61"/>
      <x:c r="J48" s="61"/>
      <x:c r="K48" s="61"/>
      <x:c r="L48" s="61"/>
      <x:c r="M48" s="61"/>
      <x:c r="N48" s="61"/>
      <x:c r="O48" s="61"/>
      <x:c r="P48" s="61"/>
      <x:c r="Q48" s="61"/>
      <x:c r="R48" s="61"/>
      <x:c r="S48" s="61"/>
      <x:c r="T48" s="61"/>
      <x:c r="U48" s="61"/>
      <x:c r="V48" s="61"/>
    </x:row>
    <x:row r="49">
      <x:c r="A49" s="61" t="str">
        <x:v>EBIT</x:v>
      </x:c>
      <x:c r="B49" s="455" t="n">
        <x:f>SUM(B14:V14)</x:f>
        <x:v>5253906.802777778</x:v>
      </x:c>
      <x:c r="C49" s="455" t="n">
        <x:f>SUM(B31:V31)</x:f>
        <x:v>19388556.92932531</x:v>
      </x:c>
      <x:c r="D49" s="61" t="str">
        <x:v>After D&amp;A</x:v>
      </x:c>
      <x:c r="E49" s="61"/>
      <x:c r="F49" s="61"/>
      <x:c r="G49" s="61"/>
      <x:c r="H49" s="61"/>
      <x:c r="I49" s="61"/>
      <x:c r="J49" s="61"/>
      <x:c r="K49" s="61"/>
      <x:c r="L49" s="61"/>
      <x:c r="M49" s="61"/>
      <x:c r="N49" s="61"/>
      <x:c r="O49" s="61"/>
      <x:c r="P49" s="61"/>
      <x:c r="Q49" s="61"/>
      <x:c r="R49" s="61"/>
      <x:c r="S49" s="61"/>
      <x:c r="T49" s="61"/>
      <x:c r="U49" s="61"/>
      <x:c r="V49" s="61"/>
    </x:row>
    <x:row r="50">
      <x:c r="A50" s="61" t="str">
        <x:v>Corporate tax provision</x:v>
      </x:c>
      <x:c r="B50" s="455" t="n">
        <x:f>SUM(B15:V15)</x:f>
        <x:v>1324847.40625</x:v>
      </x:c>
      <x:c r="C50" s="455" t="n">
        <x:f>SUM(B32:V32)</x:f>
        <x:v>4858509.937886883</x:v>
      </x:c>
      <x:c r="D50" s="61" t="str">
        <x:v>25% positive-EBIT proxy</x:v>
      </x:c>
      <x:c r="E50" s="61"/>
      <x:c r="F50" s="61"/>
      <x:c r="G50" s="61"/>
      <x:c r="H50" s="61"/>
      <x:c r="I50" s="61"/>
      <x:c r="J50" s="61"/>
      <x:c r="K50" s="61"/>
      <x:c r="L50" s="61"/>
      <x:c r="M50" s="61"/>
      <x:c r="N50" s="61"/>
      <x:c r="O50" s="61"/>
      <x:c r="P50" s="61"/>
      <x:c r="Q50" s="61"/>
      <x:c r="R50" s="61"/>
      <x:c r="S50" s="61"/>
      <x:c r="T50" s="61"/>
      <x:c r="U50" s="61"/>
      <x:c r="V50" s="61"/>
    </x:row>
    <x:row r="51">
      <x:c r="A51" s="468" t="str">
        <x:v>Net income</x:v>
      </x:c>
      <x:c r="B51" s="469" t="n">
        <x:f>SUM(B16:V16)</x:f>
        <x:v>3929059.3965277784</x:v>
      </x:c>
      <x:c r="C51" s="469" t="n">
        <x:f>SUM(B33:V33)</x:f>
        <x:v>14530046.991438424</x:v>
      </x:c>
      <x:c r="D51" s="468" t="str">
        <x:v>After tax provision</x:v>
      </x:c>
      <x:c r="E51" s="61"/>
      <x:c r="F51" s="61"/>
      <x:c r="G51" s="61"/>
      <x:c r="H51" s="61"/>
      <x:c r="I51" s="61"/>
      <x:c r="J51" s="61"/>
      <x:c r="K51" s="61"/>
      <x:c r="L51" s="61"/>
      <x:c r="M51" s="61"/>
      <x:c r="N51" s="61"/>
      <x:c r="O51" s="61"/>
      <x:c r="P51" s="61"/>
      <x:c r="Q51" s="61"/>
      <x:c r="R51" s="61"/>
      <x:c r="S51" s="61"/>
      <x:c r="T51" s="61"/>
      <x:c r="U51" s="61"/>
      <x:c r="V51" s="61"/>
    </x:row>
  </x:sheetData>
  <x:mergeCells>
    <x:mergeCell ref="A1:V1"/>
    <x:mergeCell ref="A2:V2"/>
    <x:mergeCell ref="A6:V6"/>
    <x:mergeCell ref="A23:V23"/>
    <x:mergeCell ref="A41:H41"/>
  </x:mergeCells>
  <x:pageMargins left="0.7" right="0.7" top="0.75" bottom="0.75" header="0.3" footer="0.3"/>
</x:worksheet>
</file>

<file path=xl/worksheets/sheet11.xml><?xml version="1.0" encoding="utf-8"?>
<x:worksheet xmlns:x="http://schemas.openxmlformats.org/spreadsheetml/2006/main">
  <x:sheetFormatPr defaultRowHeight="15"/>
  <x:cols>
    <x:col min="1" max="1" width="44" hidden="0" customWidth="1"/>
    <x:col min="2" max="2" width="18" hidden="0" customWidth="1"/>
    <x:col min="3" max="3" width="18" hidden="0" customWidth="1"/>
    <x:col min="4" max="4" width="60" hidden="0" customWidth="1"/>
    <x:col min="5" max="5" width="16" hidden="0" customWidth="1"/>
    <x:col min="6" max="6" width="16" hidden="0" customWidth="1"/>
    <x:col min="7" max="7" width="16" hidden="0" customWidth="1"/>
  </x:cols>
  <x:sheetData>
    <x:row r="1" ht="30" customHeight="1">
      <x:c r="A1" s="450" t="str">
        <x:v>MAGNÆRA™ — WORKING CAPITAL, LIQUIDITY &amp; POST-PERIOD COMMITMENTS</x:v>
      </x:c>
      <x:c r="B1" s="450"/>
      <x:c r="C1" s="450"/>
      <x:c r="D1" s="450"/>
      <x:c r="E1" s="450"/>
      <x:c r="F1" s="450"/>
      <x:c r="G1" s="450"/>
      <x:c r="H1" s="450"/>
      <x:c r="I1" s="450"/>
      <x:c r="J1" s="450"/>
    </x:row>
    <x:row r="2" ht="34" customHeight="1">
      <x:c r="A2" s="436" t="str">
        <x:v>Cash sales mean no standard trade-receivable balance is modelled. Working capital is driven primarily by inventory, payment lags, logistics accruals and the club-member campaign cycle. Tax is shown as a provision / liquidity reserve rather than a timed cash payment.</x:v>
      </x:c>
      <x:c r="B2" s="436"/>
      <x:c r="C2" s="436"/>
      <x:c r="D2" s="436"/>
      <x:c r="E2" s="436"/>
      <x:c r="F2" s="436"/>
      <x:c r="G2" s="436"/>
      <x:c r="H2" s="436"/>
      <x:c r="I2" s="436"/>
      <x:c r="J2" s="436"/>
    </x:row>
    <x:row r="3">
      <x:c r="A3" s="61"/>
      <x:c r="B3" s="61"/>
      <x:c r="C3" s="61"/>
      <x:c r="D3" s="61"/>
      <x:c r="E3" s="61"/>
      <x:c r="F3" s="61"/>
      <x:c r="G3" s="61"/>
      <x:c r="H3" s="61"/>
      <x:c r="I3" s="61"/>
      <x:c r="J3" s="61"/>
    </x:row>
    <x:row r="4">
      <x:c r="A4" s="471" t="str">
        <x:v>Metric</x:v>
      </x:c>
      <x:c r="B4" s="471" t="str">
        <x:v>Scenario 1 Organic</x:v>
      </x:c>
      <x:c r="C4" s="471" t="str">
        <x:v>Scenario 2 Fund</x:v>
      </x:c>
      <x:c r="D4" s="471" t="str">
        <x:v>Treatment / interpretation</x:v>
      </x:c>
      <x:c r="E4" s="61"/>
      <x:c r="F4" s="61"/>
      <x:c r="G4" s="61"/>
      <x:c r="H4" s="61"/>
      <x:c r="I4" s="61"/>
      <x:c r="J4" s="61"/>
    </x:row>
    <x:row r="5">
      <x:c r="A5" s="61" t="str">
        <x:v>Ending gross cash</x:v>
      </x:c>
      <x:c r="B5" s="455" t="n">
        <x:f>'Scenario 1 Organic'!V78</x:f>
        <x:v>3579698.1066666665</x:v>
      </x:c>
      <x:c r="C5" s="455" t="n">
        <x:f>'Scenario 2 Fund'!V78</x:f>
        <x:v>21763410.488769747</x:v>
      </x:c>
      <x:c r="D5" s="61" t="str">
        <x:v>Cash before tax reserve and post-period commitments.</x:v>
      </x:c>
      <x:c r="E5" s="61"/>
      <x:c r="F5" s="61"/>
      <x:c r="G5" s="61"/>
      <x:c r="H5" s="61"/>
      <x:c r="I5" s="61"/>
      <x:c r="J5" s="61"/>
    </x:row>
    <x:row r="6">
      <x:c r="A6" s="61" t="str">
        <x:v>Closing inventory units</x:v>
      </x:c>
      <x:c r="B6" s="454" t="n">
        <x:f>'Scenario 1 Organic'!V33</x:f>
        <x:v>30670</x:v>
      </x:c>
      <x:c r="C6" s="454" t="n">
        <x:f>'Scenario 2 Fund'!V33</x:f>
        <x:v>89832.5</x:v>
      </x:c>
      <x:c r="D6" s="61" t="str">
        <x:v>Physical magnets on hand at Apr-28.</x:v>
      </x:c>
      <x:c r="E6" s="61"/>
      <x:c r="F6" s="61"/>
      <x:c r="G6" s="61"/>
      <x:c r="H6" s="61"/>
      <x:c r="I6" s="61"/>
      <x:c r="J6" s="61"/>
    </x:row>
    <x:row r="7">
      <x:c r="A7" s="61" t="str">
        <x:v>Inventory working capital at manufacturing cost</x:v>
      </x:c>
      <x:c r="B7" s="455" t="n">
        <x:f>'Scenario 1 Organic'!V33*Assumptions!$B$50</x:f>
        <x:v>106516.90999999999</x:v>
      </x:c>
      <x:c r="C7" s="455" t="n">
        <x:f>'Scenario 2 Fund'!V33*Assumptions!$B$50</x:f>
        <x:v>311988.27249999996</x:v>
      </x:c>
      <x:c r="D7" s="61" t="str">
        <x:v>Already cash-funded; shown as an operating asset, not deducted again from cash.</x:v>
      </x:c>
      <x:c r="E7" s="61"/>
      <x:c r="F7" s="61"/>
      <x:c r="G7" s="61"/>
      <x:c r="H7" s="61"/>
      <x:c r="I7" s="61"/>
      <x:c r="J7" s="61"/>
    </x:row>
    <x:row r="8">
      <x:c r="A8" s="61" t="str">
        <x:v>Commercial machines ordered but not yet active</x:v>
      </x:c>
      <x:c r="B8" s="454" t="n">
        <x:f>'Scenario 1 Organic'!V11-'Scenario 1 Organic'!V15</x:f>
        <x:v>400</x:v>
      </x:c>
      <x:c r="C8" s="454" t="n">
        <x:f>'Scenario 2 Fund'!V11-'Scenario 2 Fund'!V15</x:f>
        <x:v>0</x:v>
      </x:c>
      <x:c r="D8" s="61" t="str">
        <x:v>Deployment pipeline at horizon close.</x:v>
      </x:c>
      <x:c r="E8" s="61"/>
      <x:c r="F8" s="61"/>
      <x:c r="G8" s="61"/>
      <x:c r="H8" s="61"/>
      <x:c r="I8" s="61"/>
      <x:c r="J8" s="61"/>
    </x:row>
    <x:row r="9">
      <x:c r="A9" s="61" t="str">
        <x:v>Machine capital work-in-progress / prepayments</x:v>
      </x:c>
      <x:c r="B9" s="455" t="n">
        <x:f>B8*Assumptions!$B$37</x:f>
        <x:v>1107066.6666666667</x:v>
      </x:c>
      <x:c r="C9" s="455" t="n">
        <x:f>C8*Assumptions!$B$37</x:f>
        <x:v>0</x:v>
      </x:c>
      <x:c r="D9" s="61" t="str">
        <x:v>Landed machine cost for ordered machines not yet active; already paid or substantially prepaid under the 25%/75% schedule.</x:v>
      </x:c>
      <x:c r="E9" s="61"/>
      <x:c r="F9" s="61"/>
      <x:c r="G9" s="61"/>
      <x:c r="H9" s="61"/>
      <x:c r="I9" s="61"/>
      <x:c r="J9" s="61"/>
    </x:row>
    <x:row r="10">
      <x:c r="A10" s="61" t="str">
        <x:v>Post-period installation payable</x:v>
      </x:c>
      <x:c r="B10" s="455" t="n">
        <x:f>('Scenario 1 Organic'!U14+'Scenario 1 Organic'!V14+B8)*Assumptions!$B$36</x:f>
        <x:v>90000</x:v>
      </x:c>
      <x:c r="C10" s="455" t="n">
        <x:f>('Scenario 2 Fund'!U14+'Scenario 2 Fund'!V14+C8)*Assumptions!$B$36</x:f>
        <x:v>45000</x:v>
      </x:c>
      <x:c r="D10" s="61" t="str">
        <x:v>Installation cash due after Apr-28 for Mar/Apr activations and machines still in pipeline.</x:v>
      </x:c>
      <x:c r="E10" s="61"/>
      <x:c r="F10" s="61"/>
      <x:c r="G10" s="61"/>
      <x:c r="H10" s="61"/>
      <x:c r="I10" s="61"/>
      <x:c r="J10" s="61"/>
    </x:row>
    <x:row r="11">
      <x:c r="A11" s="61" t="str">
        <x:v>Post-period vending logistics payable</x:v>
      </x:c>
      <x:c r="B11" s="455" t="n">
        <x:f>'Scenario 1 Organic'!U39+'Scenario 1 Organic'!V39</x:f>
        <x:v>299355.525</x:v>
      </x:c>
      <x:c r="C11" s="455" t="n">
        <x:f>'Scenario 2 Fund'!U39+'Scenario 2 Fund'!V39</x:f>
        <x:v>1074955.0875000001</x:v>
      </x:c>
      <x:c r="D11" s="61" t="str">
        <x:v>March and April logistics expense remains unpaid at the 60-day payment lag.</x:v>
      </x:c>
      <x:c r="E11" s="61"/>
      <x:c r="F11" s="61"/>
      <x:c r="G11" s="61"/>
      <x:c r="H11" s="61"/>
      <x:c r="I11" s="61"/>
      <x:c r="J11" s="61"/>
    </x:row>
    <x:row r="12">
      <x:c r="A12" s="61" t="str">
        <x:v>Post-period club campaign receivable</x:v>
      </x:c>
      <x:c r="B12" s="455" t="n">
        <x:f>IF('Scenario 1 Organic'!U45=1,Assumptions!$B$76*(Assumptions!$B$77-Assumptions!$B$78),0)</x:f>
        <x:v>100000</x:v>
      </x:c>
      <x:c r="C12" s="455" t="n">
        <x:f>IF('Scenario 2 Fund'!U45=1,Assumptions!$B$76*(Assumptions!$B$77-Assumptions!$B$78),0)</x:f>
        <x:v>100000</x:v>
      </x:c>
      <x:c r="D12" s="61" t="str">
        <x:v>Final member collection on the Mar-28 order, due at delivery after horizon.</x:v>
      </x:c>
      <x:c r="E12" s="61"/>
      <x:c r="F12" s="61"/>
      <x:c r="G12" s="61"/>
      <x:c r="H12" s="61"/>
      <x:c r="I12" s="61"/>
      <x:c r="J12" s="61"/>
    </x:row>
    <x:row r="13">
      <x:c r="A13" s="61" t="str">
        <x:v>Post-period club cash obligations</x:v>
      </x:c>
      <x:c r="B13" s="455" t="n">
        <x:f>IF('Scenario 1 Organic'!U45=1,Assumptions!$B$86*Assumptions!$B$79+Assumptions!$B$86*Assumptions!$B$82+(Assumptions!$B$76*(Assumptions!$B$77-Assumptions!$B$78))*Assumptions!$B$83,0)</x:f>
        <x:v>95800</x:v>
      </x:c>
      <x:c r="C13" s="455" t="n">
        <x:f>IF('Scenario 2 Fund'!U45=1,Assumptions!$B$86*Assumptions!$B$79+Assumptions!$B$86*Assumptions!$B$82+(Assumptions!$B$76*(Assumptions!$B$77-Assumptions!$B$78))*Assumptions!$B$83,0)</x:f>
        <x:v>95800</x:v>
      </x:c>
      <x:c r="D13" s="61" t="str">
        <x:v>Club share, fulfilment and final-payment processing for the campaign delivered after horizon.</x:v>
      </x:c>
      <x:c r="E13" s="61"/>
      <x:c r="F13" s="61"/>
      <x:c r="G13" s="61"/>
      <x:c r="H13" s="61"/>
      <x:c r="I13" s="61"/>
      <x:c r="J13" s="61"/>
    </x:row>
    <x:row r="14">
      <x:c r="A14" s="61" t="str">
        <x:v>Cumulative corporate-tax provision / reserve</x:v>
      </x:c>
      <x:c r="B14" s="455" t="n">
        <x:f>'Professional P&amp;L'!V19</x:f>
        <x:v>1324847.40625</x:v>
      </x:c>
      <x:c r="C14" s="455" t="n">
        <x:f>'Professional P&amp;L'!V36</x:f>
        <x:v>4858509.937886883</x:v>
      </x:c>
      <x:c r="D14" s="61" t="str">
        <x:v>25% positive-EBIT analytical reserve; actual tax timing to be confirmed.</x:v>
      </x:c>
      <x:c r="E14" s="61"/>
      <x:c r="F14" s="61"/>
      <x:c r="G14" s="61"/>
      <x:c r="H14" s="61"/>
      <x:c r="I14" s="61"/>
      <x:c r="J14" s="61"/>
    </x:row>
    <x:row r="15">
      <x:c r="A15" s="61" t="str">
        <x:v>Net post-period cash commitments before tax</x:v>
      </x:c>
      <x:c r="B15" s="455" t="n">
        <x:f>B10+B11+B13-B12</x:f>
        <x:v>385155.525</x:v>
      </x:c>
      <x:c r="C15" s="455" t="n">
        <x:f>C10+C11+C13-C12</x:f>
        <x:v>1115755.0875000001</x:v>
      </x:c>
      <x:c r="D15" s="61" t="str">
        <x:v>Installation + logistics + club obligations less contracted club receivable.</x:v>
      </x:c>
      <x:c r="E15" s="61"/>
      <x:c r="F15" s="61"/>
      <x:c r="G15" s="61"/>
      <x:c r="H15" s="61"/>
      <x:c r="I15" s="61"/>
      <x:c r="J15" s="61"/>
    </x:row>
    <x:row r="16">
      <x:c r="A16" s="456" t="str">
        <x:v>Liquidity after tax reserve &amp; net post-period commitments</x:v>
      </x:c>
      <x:c r="B16" s="457" t="n">
        <x:f>B5-B14-B15</x:f>
        <x:v>1869695.1754166665</x:v>
      </x:c>
      <x:c r="C16" s="457" t="n">
        <x:f>C5-C14-C15</x:f>
        <x:v>15789145.463382864</x:v>
      </x:c>
      <x:c r="D16" s="456" t="str">
        <x:v>Conservative liquidity after tax reserve and identified post-period cash commitments.</x:v>
      </x:c>
      <x:c r="E16" s="61"/>
      <x:c r="F16" s="61"/>
      <x:c r="G16" s="61"/>
      <x:c r="H16" s="61"/>
      <x:c r="I16" s="61"/>
      <x:c r="J16" s="61"/>
    </x:row>
    <x:row r="17">
      <x:c r="A17" s="61" t="str">
        <x:v>Operating net working capital (ex cash, ex machine WIP)</x:v>
      </x:c>
      <x:c r="B17" s="455" t="n">
        <x:f>B7+B12-B11-B13</x:f>
        <x:v>-188638.61500000005</x:v>
      </x:c>
      <x:c r="C17" s="455" t="n">
        <x:f>C7+C12-C11-C13</x:f>
        <x:v>-758766.8150000002</x:v>
      </x:c>
      <x:c r="D17" s="61" t="str">
        <x:v>Inventory + club receivable - logistics payable - club obligations.</x:v>
      </x:c>
      <x:c r="E17" s="61"/>
      <x:c r="F17" s="61"/>
      <x:c r="G17" s="61"/>
      <x:c r="H17" s="61"/>
      <x:c r="I17" s="61"/>
      <x:c r="J17" s="61"/>
    </x:row>
    <x:row r="18">
      <x:c r="A18" s="61"/>
      <x:c r="B18" s="61"/>
      <x:c r="C18" s="61"/>
      <x:c r="D18" s="61"/>
      <x:c r="E18" s="61"/>
      <x:c r="F18" s="61"/>
      <x:c r="G18" s="61"/>
      <x:c r="H18" s="61"/>
      <x:c r="I18" s="61"/>
      <x:c r="J18" s="61"/>
    </x:row>
    <x:row r="19">
      <x:c r="A19" s="61"/>
      <x:c r="B19" s="61"/>
      <x:c r="C19" s="61"/>
      <x:c r="D19" s="61"/>
      <x:c r="E19" s="61"/>
      <x:c r="F19" s="61"/>
      <x:c r="G19" s="61"/>
      <x:c r="H19" s="61"/>
      <x:c r="I19" s="61"/>
      <x:c r="J19" s="61"/>
    </x:row>
    <x:row r="20">
      <x:c r="A20" s="453" t="str">
        <x:v>MONTHLY LIQUIDITY / INVENTORY SNAPSHOT</x:v>
      </x:c>
      <x:c r="B20" s="453"/>
      <x:c r="C20" s="453"/>
      <x:c r="D20" s="453"/>
      <x:c r="E20" s="453"/>
      <x:c r="F20" s="453"/>
      <x:c r="G20" s="453"/>
      <x:c r="H20" s="453"/>
      <x:c r="I20" s="453"/>
      <x:c r="J20" s="453"/>
    </x:row>
    <x:row r="21">
      <x:c r="A21" s="471" t="str">
        <x:v>Month</x:v>
      </x:c>
      <x:c r="B21" s="471" t="str">
        <x:v>S1 inventory WC</x:v>
      </x:c>
      <x:c r="C21" s="471" t="str">
        <x:v>S2 inventory WC</x:v>
      </x:c>
      <x:c r="D21" s="471" t="str">
        <x:v>S1 closing cash</x:v>
      </x:c>
      <x:c r="E21" s="471" t="str">
        <x:v>S2 closing cash</x:v>
      </x:c>
      <x:c r="F21" s="471" t="str">
        <x:v>S1 tax reserve</x:v>
      </x:c>
      <x:c r="G21" s="471" t="str">
        <x:v>S2 tax reserve</x:v>
      </x:c>
      <x:c r="H21" s="61"/>
      <x:c r="I21" s="61"/>
      <x:c r="J21" s="61"/>
    </x:row>
    <x:row r="22">
      <x:c r="A22" s="472" t="n">
        <x:f>'Scenario 1 Organic'!B4</x:f>
        <x:v>46235</x:v>
      </x:c>
      <x:c r="B22" s="455" t="n">
        <x:f>'Scenario 1 Organic'!B33*Assumptions!$B$50</x:f>
        <x:v>0</x:v>
      </x:c>
      <x:c r="C22" s="455" t="n">
        <x:f>'Scenario 2 Fund'!B33*Assumptions!$B$50</x:f>
        <x:v>0</x:v>
      </x:c>
      <x:c r="D22" s="455" t="n">
        <x:f>'Scenario 1 Organic'!B78</x:f>
        <x:v>0</x:v>
      </x:c>
      <x:c r="E22" s="455" t="n">
        <x:f>'Scenario 2 Fund'!B78</x:f>
        <x:v>0</x:v>
      </x:c>
      <x:c r="F22" s="455" t="n">
        <x:f>'Professional P&amp;L'!B19</x:f>
        <x:v>0</x:v>
      </x:c>
      <x:c r="G22" s="455" t="n">
        <x:f>'Professional P&amp;L'!B36</x:f>
        <x:v>0</x:v>
      </x:c>
      <x:c r="H22" s="61"/>
      <x:c r="I22" s="61"/>
      <x:c r="J22" s="61"/>
    </x:row>
    <x:row r="23">
      <x:c r="A23" s="472" t="n">
        <x:f>'Scenario 1 Organic'!C4</x:f>
        <x:v>46266</x:v>
      </x:c>
      <x:c r="B23" s="455" t="n">
        <x:f>'Scenario 1 Organic'!C33*Assumptions!$B$50</x:f>
        <x:v>0</x:v>
      </x:c>
      <x:c r="C23" s="455" t="n">
        <x:f>'Scenario 2 Fund'!C33*Assumptions!$B$50</x:f>
        <x:v>0</x:v>
      </x:c>
      <x:c r="D23" s="455" t="n">
        <x:f>'Scenario 1 Organic'!C78</x:f>
        <x:v>214300</x:v>
      </x:c>
      <x:c r="E23" s="455" t="n">
        <x:f>'Scenario 2 Fund'!C78</x:f>
        <x:v>214300</x:v>
      </x:c>
      <x:c r="F23" s="455" t="n">
        <x:f>'Professional P&amp;L'!C19</x:f>
        <x:v>0</x:v>
      </x:c>
      <x:c r="G23" s="455" t="n">
        <x:f>'Professional P&amp;L'!C36</x:f>
        <x:v>0</x:v>
      </x:c>
      <x:c r="H23" s="61"/>
      <x:c r="I23" s="61"/>
      <x:c r="J23" s="61"/>
    </x:row>
    <x:row r="24">
      <x:c r="A24" s="472" t="n">
        <x:f>'Scenario 1 Organic'!D4</x:f>
        <x:v>46296</x:v>
      </x:c>
      <x:c r="B24" s="455" t="n">
        <x:f>'Scenario 1 Organic'!D33*Assumptions!$B$50</x:f>
        <x:v>2014.34</x:v>
      </x:c>
      <x:c r="C24" s="455" t="n">
        <x:f>'Scenario 2 Fund'!D33*Assumptions!$B$50</x:f>
        <x:v>2014.34</x:v>
      </x:c>
      <x:c r="D24" s="455" t="n">
        <x:f>'Scenario 1 Organic'!D78</x:f>
        <x:v>159010.81</x:v>
      </x:c>
      <x:c r="E24" s="455" t="n">
        <x:f>'Scenario 2 Fund'!D78</x:f>
        <x:v>159010.81</x:v>
      </x:c>
      <x:c r="F24" s="455" t="n">
        <x:f>'Professional P&amp;L'!D19</x:f>
        <x:v>0</x:v>
      </x:c>
      <x:c r="G24" s="455" t="n">
        <x:f>'Professional P&amp;L'!D36</x:f>
        <x:v>0</x:v>
      </x:c>
      <x:c r="H24" s="61"/>
      <x:c r="I24" s="61"/>
      <x:c r="J24" s="61"/>
    </x:row>
    <x:row r="25">
      <x:c r="A25" s="472" t="n">
        <x:f>'Scenario 1 Organic'!E4</x:f>
        <x:v>46327</x:v>
      </x:c>
      <x:c r="B25" s="455" t="n">
        <x:f>'Scenario 1 Organic'!E33*Assumptions!$B$50</x:f>
        <x:v>0</x:v>
      </x:c>
      <x:c r="C25" s="455" t="n">
        <x:f>'Scenario 2 Fund'!E33*Assumptions!$B$50</x:f>
        <x:v>0</x:v>
      </x:c>
      <x:c r="D25" s="455" t="n">
        <x:f>'Scenario 1 Organic'!E78</x:f>
        <x:v>75133</x:v>
      </x:c>
      <x:c r="E25" s="455" t="n">
        <x:f>'Scenario 2 Fund'!E78</x:f>
        <x:v>75133</x:v>
      </x:c>
      <x:c r="F25" s="455" t="n">
        <x:f>'Professional P&amp;L'!E19</x:f>
        <x:v>0</x:v>
      </x:c>
      <x:c r="G25" s="455" t="n">
        <x:f>'Professional P&amp;L'!E36</x:f>
        <x:v>0</x:v>
      </x:c>
      <x:c r="H25" s="61"/>
      <x:c r="I25" s="61"/>
      <x:c r="J25" s="61"/>
    </x:row>
    <x:row r="26">
      <x:c r="A26" s="472" t="n">
        <x:f>'Scenario 1 Organic'!F4</x:f>
        <x:v>46357</x:v>
      </x:c>
      <x:c r="B26" s="455" t="n">
        <x:f>'Scenario 1 Organic'!F33*Assumptions!$B$50</x:f>
        <x:v>101272.68</x:v>
      </x:c>
      <x:c r="C26" s="455" t="n">
        <x:f>'Scenario 2 Fund'!F33*Assumptions!$B$50</x:f>
        <x:v>101272.68</x:v>
      </x:c>
      <x:c r="D26" s="455" t="n">
        <x:f>'Scenario 1 Organic'!F78</x:f>
        <x:v>103020.26999999997</x:v>
      </x:c>
      <x:c r="E26" s="455" t="n">
        <x:f>'Scenario 2 Fund'!F78</x:f>
        <x:v>103020.26999999997</x:v>
      </x:c>
      <x:c r="F26" s="455" t="n">
        <x:f>'Professional P&amp;L'!F19</x:f>
        <x:v>0</x:v>
      </x:c>
      <x:c r="G26" s="455" t="n">
        <x:f>'Professional P&amp;L'!F36</x:f>
        <x:v>0</x:v>
      </x:c>
      <x:c r="H26" s="61"/>
      <x:c r="I26" s="61"/>
      <x:c r="J26" s="61"/>
    </x:row>
    <x:row r="27">
      <x:c r="A27" s="472" t="n">
        <x:f>'Scenario 1 Organic'!G4</x:f>
        <x:v>46388</x:v>
      </x:c>
      <x:c r="B27" s="455" t="n">
        <x:f>'Scenario 1 Organic'!G33*Assumptions!$B$50</x:f>
        <x:v>98355.36</x:v>
      </x:c>
      <x:c r="C27" s="455" t="n">
        <x:f>'Scenario 2 Fund'!G33*Assumptions!$B$50</x:f>
        <x:v>98355.36</x:v>
      </x:c>
      <x:c r="D27" s="455" t="n">
        <x:f>'Scenario 1 Organic'!G78</x:f>
        <x:v>82281.23999999998</x:v>
      </x:c>
      <x:c r="E27" s="455" t="n">
        <x:f>'Scenario 2 Fund'!G78</x:f>
        <x:v>82281.23999999998</x:v>
      </x:c>
      <x:c r="F27" s="455" t="n">
        <x:f>'Professional P&amp;L'!G19</x:f>
        <x:v>0</x:v>
      </x:c>
      <x:c r="G27" s="455" t="n">
        <x:f>'Professional P&amp;L'!G36</x:f>
        <x:v>0</x:v>
      </x:c>
      <x:c r="H27" s="61"/>
      <x:c r="I27" s="61"/>
      <x:c r="J27" s="61"/>
    </x:row>
    <x:row r="28">
      <x:c r="A28" s="472" t="n">
        <x:f>'Scenario 1 Organic'!H4</x:f>
        <x:v>46419</x:v>
      </x:c>
      <x:c r="B28" s="455" t="n">
        <x:f>'Scenario 1 Organic'!H33*Assumptions!$B$50</x:f>
        <x:v>95438.04</x:v>
      </x:c>
      <x:c r="C28" s="455" t="n">
        <x:f>'Scenario 2 Fund'!H33*Assumptions!$B$50</x:f>
        <x:v>95438.04</x:v>
      </x:c>
      <x:c r="D28" s="455" t="n">
        <x:f>'Scenario 1 Organic'!H78</x:f>
        <x:v>98169.15999999997</x:v>
      </x:c>
      <x:c r="E28" s="455" t="n">
        <x:f>'Scenario 2 Fund'!H78</x:f>
        <x:v>98169.15999999997</x:v>
      </x:c>
      <x:c r="F28" s="455" t="n">
        <x:f>'Professional P&amp;L'!H19</x:f>
        <x:v>18018.33611111111</x:v>
      </x:c>
      <x:c r="G28" s="455" t="n">
        <x:f>'Professional P&amp;L'!H36</x:f>
        <x:v>18018.33611111111</x:v>
      </x:c>
      <x:c r="H28" s="61"/>
      <x:c r="I28" s="61"/>
      <x:c r="J28" s="61"/>
    </x:row>
    <x:row r="29">
      <x:c r="A29" s="472" t="n">
        <x:f>'Scenario 1 Organic'!I4</x:f>
        <x:v>46447</x:v>
      </x:c>
      <x:c r="B29" s="455" t="n">
        <x:f>'Scenario 1 Organic'!I33*Assumptions!$B$50</x:f>
        <x:v>58528.7325</x:v>
      </x:c>
      <x:c r="C29" s="455" t="n">
        <x:f>'Scenario 2 Fund'!I33*Assumptions!$B$50</x:f>
        <x:v>58528.7325</x:v>
      </x:c>
      <x:c r="D29" s="455" t="n">
        <x:f>'Scenario 1 Organic'!I78</x:f>
        <x:v>317920.15499999997</x:v>
      </x:c>
      <x:c r="E29" s="455" t="n">
        <x:f>'Scenario 2 Fund'!I78</x:f>
        <x:v>4248728.488333333</x:v>
      </x:c>
      <x:c r="F29" s="455" t="n">
        <x:f>'Professional P&amp;L'!I19</x:f>
        <x:v>40307.45607638889</x:v>
      </x:c>
      <x:c r="G29" s="455" t="n">
        <x:f>'Professional P&amp;L'!I36</x:f>
        <x:v>40307.45607638889</x:v>
      </x:c>
      <x:c r="H29" s="61"/>
      <x:c r="I29" s="61"/>
      <x:c r="J29" s="61"/>
    </x:row>
    <x:row r="30">
      <x:c r="A30" s="472" t="n">
        <x:f>'Scenario 1 Organic'!J4</x:f>
        <x:v>46478</x:v>
      </x:c>
      <x:c r="B30" s="455" t="n">
        <x:f>'Scenario 1 Organic'!J33*Assumptions!$B$50</x:f>
        <x:v>10288.762499999999</x:v>
      </x:c>
      <x:c r="C30" s="455" t="n">
        <x:f>'Scenario 2 Fund'!J33*Assumptions!$B$50</x:f>
        <x:v>10288.762499999999</x:v>
      </x:c>
      <x:c r="D30" s="455" t="n">
        <x:f>'Scenario 1 Organic'!J78</x:f>
        <x:v>424390.57499999995</x:v>
      </x:c>
      <x:c r="E30" s="455" t="n">
        <x:f>'Scenario 2 Fund'!J78</x:f>
        <x:v>4286007.241666666</x:v>
      </x:c>
      <x:c r="F30" s="455" t="n">
        <x:f>'Professional P&amp;L'!J19</x:f>
        <x:v>70591.74010416667</x:v>
      </x:c>
      <x:c r="G30" s="455" t="n">
        <x:f>'Professional P&amp;L'!J36</x:f>
        <x:v>70591.74010416667</x:v>
      </x:c>
      <x:c r="H30" s="61"/>
      <x:c r="I30" s="61"/>
      <x:c r="J30" s="61"/>
    </x:row>
    <x:row r="31">
      <x:c r="A31" s="472" t="n">
        <x:f>'Scenario 1 Organic'!K4</x:f>
        <x:v>46508</x:v>
      </x:c>
      <x:c r="B31" s="455" t="n">
        <x:f>'Scenario 1 Organic'!K33*Assumptions!$B$50</x:f>
        <x:v>9976.1925</x:v>
      </x:c>
      <x:c r="C31" s="455" t="n">
        <x:f>'Scenario 2 Fund'!K33*Assumptions!$B$50</x:f>
        <x:v>9976.1925</x:v>
      </x:c>
      <x:c r="D31" s="455" t="n">
        <x:f>'Scenario 1 Organic'!K78</x:f>
        <x:v>537386.5345833333</x:v>
      </x:c>
      <x:c r="E31" s="455" t="n">
        <x:f>'Scenario 2 Fund'!K78</x:f>
        <x:v>4149913.2012499995</x:v>
      </x:c>
      <x:c r="F31" s="455" t="n">
        <x:f>'Professional P&amp;L'!K19</x:f>
        <x:v>120226.02413194446</x:v>
      </x:c>
      <x:c r="G31" s="455" t="n">
        <x:f>'Professional P&amp;L'!K36</x:f>
        <x:v>120226.02413194446</x:v>
      </x:c>
      <x:c r="H31" s="61"/>
      <x:c r="I31" s="61"/>
      <x:c r="J31" s="61"/>
    </x:row>
    <x:row r="32">
      <x:c r="A32" s="472" t="n">
        <x:f>'Scenario 1 Organic'!L4</x:f>
        <x:v>46539</x:v>
      </x:c>
      <x:c r="B32" s="455" t="n">
        <x:f>'Scenario 1 Organic'!L33*Assumptions!$B$50</x:f>
        <x:v>9663.6225</x:v>
      </x:c>
      <x:c r="C32" s="455" t="n">
        <x:f>'Scenario 2 Fund'!L33*Assumptions!$B$50</x:f>
        <x:v>9663.6225</x:v>
      </x:c>
      <x:c r="D32" s="455" t="n">
        <x:f>'Scenario 1 Organic'!L78</x:f>
        <x:v>751995.0295833333</x:v>
      </x:c>
      <x:c r="E32" s="455" t="n">
        <x:f>'Scenario 2 Fund'!L78</x:f>
        <x:v>3984527.962916666</x:v>
      </x:c>
      <x:c r="F32" s="455" t="n">
        <x:f>'Professional P&amp;L'!L19</x:f>
        <x:v>150510.30815972225</x:v>
      </x:c>
      <x:c r="G32" s="455" t="n">
        <x:f>'Professional P&amp;L'!L36</x:f>
        <x:v>150510.30815972225</x:v>
      </x:c>
      <x:c r="H32" s="61"/>
      <x:c r="I32" s="61"/>
      <x:c r="J32" s="61"/>
    </x:row>
    <x:row r="33">
      <x:c r="A33" s="472" t="n">
        <x:f>'Scenario 1 Organic'!M4</x:f>
        <x:v>46569</x:v>
      </x:c>
      <x:c r="B33" s="455" t="n">
        <x:f>'Scenario 1 Organic'!M33*Assumptions!$B$50</x:f>
        <x:v>9698.352499999999</x:v>
      </x:c>
      <x:c r="C33" s="455" t="n">
        <x:f>'Scenario 2 Fund'!M33*Assumptions!$B$50</x:f>
        <x:v>9698.352499999999</x:v>
      </x:c>
      <x:c r="D33" s="455" t="n">
        <x:f>'Scenario 1 Organic'!M78</x:f>
        <x:v>717358.5245833333</x:v>
      </x:c>
      <x:c r="E33" s="455" t="n">
        <x:f>'Scenario 2 Fund'!M78</x:f>
        <x:v>3691127.657916666</x:v>
      </x:c>
      <x:c r="F33" s="455" t="n">
        <x:f>'Professional P&amp;L'!M19</x:f>
        <x:v>180794.59218750003</x:v>
      </x:c>
      <x:c r="G33" s="455" t="n">
        <x:f>'Professional P&amp;L'!M36</x:f>
        <x:v>180794.59218750003</x:v>
      </x:c>
      <x:c r="H33" s="61"/>
      <x:c r="I33" s="61"/>
      <x:c r="J33" s="61"/>
    </x:row>
    <x:row r="34">
      <x:c r="A34" s="472" t="n">
        <x:f>'Scenario 1 Organic'!N4</x:f>
        <x:v>46600</x:v>
      </x:c>
      <x:c r="B34" s="455" t="n">
        <x:f>'Scenario 1 Organic'!N33*Assumptions!$B$50</x:f>
        <x:v>9733.0825</x:v>
      </x:c>
      <x:c r="C34" s="455" t="n">
        <x:f>'Scenario 2 Fund'!N33*Assumptions!$B$50</x:f>
        <x:v>32568.0575</x:v>
      </x:c>
      <x:c r="D34" s="455" t="n">
        <x:f>'Scenario 1 Organic'!N78</x:f>
        <x:v>844585.4945833333</x:v>
      </x:c>
      <x:c r="E34" s="455" t="n">
        <x:f>'Scenario 2 Fund'!N78</x:f>
        <x:v>3375523.2945833327</x:v>
      </x:c>
      <x:c r="F34" s="455" t="n">
        <x:f>'Professional P&amp;L'!N19</x:f>
        <x:v>230428.87621527782</x:v>
      </x:c>
      <x:c r="G34" s="455" t="n">
        <x:f>'Professional P&amp;L'!N36</x:f>
        <x:v>298089.8223958334</x:v>
      </x:c>
      <x:c r="H34" s="61"/>
      <x:c r="I34" s="61"/>
      <x:c r="J34" s="61"/>
    </x:row>
    <x:row r="35">
      <x:c r="A35" s="472" t="n">
        <x:f>'Scenario 1 Organic'!O4</x:f>
        <x:v>46631</x:v>
      </x:c>
      <x:c r="B35" s="455" t="n">
        <x:f>'Scenario 1 Organic'!O33*Assumptions!$B$50</x:f>
        <x:v>9767.8125</x:v>
      </x:c>
      <x:c r="C35" s="455" t="n">
        <x:f>'Scenario 2 Fund'!O33*Assumptions!$B$50</x:f>
        <x:v>62731.0625</x:v>
      </x:c>
      <x:c r="D35" s="455" t="n">
        <x:f>'Scenario 1 Organic'!O78</x:f>
        <x:v>829518.0979166667</x:v>
      </x:c>
      <x:c r="E35" s="455" t="n">
        <x:f>'Scenario 2 Fund'!O78</x:f>
        <x:v>4083624.364583333</x:v>
      </x:c>
      <x:c r="F35" s="455" t="n">
        <x:f>'Professional P&amp;L'!O19</x:f>
        <x:v>260713.1602430556</x:v>
      </x:c>
      <x:c r="G35" s="455" t="n">
        <x:f>'Professional P&amp;L'!O36</x:f>
        <x:v>488921.5456597223</x:v>
      </x:c>
      <x:c r="H35" s="61"/>
      <x:c r="I35" s="61"/>
      <x:c r="J35" s="61"/>
    </x:row>
    <x:row r="36">
      <x:c r="A36" s="472" t="n">
        <x:f>'Scenario 1 Organic'!P4</x:f>
        <x:v>46661</x:v>
      </x:c>
      <x:c r="B36" s="455" t="n">
        <x:f>'Scenario 1 Organic'!P33*Assumptions!$B$50</x:f>
        <x:v>19005.9925</x:v>
      </x:c>
      <x:c r="C36" s="455" t="n">
        <x:f>'Scenario 2 Fund'!P33*Assumptions!$B$50</x:f>
        <x:v>92894.06749999999</x:v>
      </x:c>
      <x:c r="D36" s="455" t="n">
        <x:f>'Scenario 1 Organic'!P78</x:f>
        <x:v>1011668.6179166667</x:v>
      </x:c>
      <x:c r="E36" s="455" t="n">
        <x:f>'Scenario 2 Fund'!P78</x:f>
        <x:v>4325506.9470833335</x:v>
      </x:c>
      <x:c r="F36" s="455" t="n">
        <x:f>'Professional P&amp;L'!P19</x:f>
        <x:v>318916.8227430556</x:v>
      </x:c>
      <x:c r="G36" s="455" t="n">
        <x:f>'Professional P&amp;L'!P36</x:f>
        <x:v>767639.7619791668</x:v>
      </x:c>
      <x:c r="H36" s="61"/>
      <x:c r="I36" s="61"/>
      <x:c r="J36" s="61"/>
    </x:row>
    <x:row r="37">
      <x:c r="A37" s="472" t="n">
        <x:f>'Scenario 1 Organic'!Q4</x:f>
        <x:v>46692</x:v>
      </x:c>
      <x:c r="B37" s="455" t="n">
        <x:f>'Scenario 1 Organic'!Q33*Assumptions!$B$50</x:f>
        <x:v>21819.122499999998</x:v>
      </x:c>
      <x:c r="C37" s="455" t="n">
        <x:f>'Scenario 2 Fund'!Q33*Assumptions!$B$50</x:f>
        <x:v>145892.0475</x:v>
      </x:c>
      <x:c r="D37" s="455" t="n">
        <x:f>'Scenario 1 Organic'!Q78</x:f>
        <x:v>961722.6045833332</x:v>
      </x:c>
      <x:c r="E37" s="455" t="n">
        <x:f>'Scenario 2 Fund'!Q78</x:f>
        <x:v>6077349.489643808</x:v>
      </x:c>
      <x:c r="F37" s="455" t="n">
        <x:f>'Professional P&amp;L'!Q19</x:f>
        <x:v>407130.70399305556</x:v>
      </x:c>
      <x:c r="G37" s="455" t="n">
        <x:f>'Professional P&amp;L'!Q36</x:f>
        <x:v>1219213.607549841</x:v>
      </x:c>
      <x:c r="H37" s="61"/>
      <x:c r="I37" s="61"/>
      <x:c r="J37" s="61"/>
    </x:row>
    <x:row r="38">
      <x:c r="A38" s="472" t="n">
        <x:f>'Scenario 1 Organic'!R4</x:f>
        <x:v>46722</x:v>
      </x:c>
      <x:c r="B38" s="455" t="n">
        <x:f>'Scenario 1 Organic'!R33*Assumptions!$B$50</x:f>
        <x:v>35485.377499999995</x:v>
      </x:c>
      <x:c r="C38" s="455" t="n">
        <x:f>'Scenario 2 Fund'!R33*Assumptions!$B$50</x:f>
        <x:v>160860.6775</x:v>
      </x:c>
      <x:c r="D38" s="455" t="n">
        <x:f>'Scenario 1 Organic'!R78</x:f>
        <x:v>1468367.7995833333</x:v>
      </x:c>
      <x:c r="E38" s="455" t="n">
        <x:f>'Scenario 2 Fund'!R78</x:f>
        <x:v>7337896.032204283</x:v>
      </x:c>
      <x:c r="F38" s="455" t="n">
        <x:f>'Professional P&amp;L'!R19</x:f>
        <x:v>515736.1529513889</x:v>
      </x:c>
      <x:c r="G38" s="455" t="n">
        <x:f>'Professional P&amp;L'!R36</x:f>
        <x:v>1704738.5468705154</x:v>
      </x:c>
      <x:c r="H38" s="61"/>
      <x:c r="I38" s="61"/>
      <x:c r="J38" s="61"/>
    </x:row>
    <x:row r="39">
      <x:c r="A39" s="472" t="n">
        <x:f>'Scenario 1 Organic'!S4</x:f>
        <x:v>46753</x:v>
      </x:c>
      <x:c r="B39" s="455" t="n">
        <x:f>'Scenario 1 Organic'!S33*Assumptions!$B$50</x:f>
        <x:v>40035.0075</x:v>
      </x:c>
      <x:c r="C39" s="455" t="n">
        <x:f>'Scenario 2 Fund'!S33*Assumptions!$B$50</x:f>
        <x:v>206218.0575</x:v>
      </x:c>
      <x:c r="D39" s="455" t="n">
        <x:f>'Scenario 1 Organic'!S78</x:f>
        <x:v>1181743.4779166665</x:v>
      </x:c>
      <x:c r="E39" s="455" t="n">
        <x:f>'Scenario 2 Fund'!S78</x:f>
        <x:v>9714725.92931983</x:v>
      </x:c>
      <x:c r="F39" s="455" t="n">
        <x:f>'Professional P&amp;L'!S19</x:f>
        <x:v>640331.9300347223</x:v>
      </x:c>
      <x:c r="G39" s="455" t="n">
        <x:f>'Professional P&amp;L'!S36</x:f>
        <x:v>2325908.332816069</x:v>
      </x:c>
      <x:c r="H39" s="61"/>
      <x:c r="I39" s="61"/>
      <x:c r="J39" s="61"/>
    </x:row>
    <x:row r="40">
      <x:c r="A40" s="472" t="n">
        <x:f>'Scenario 1 Organic'!T4</x:f>
        <x:v>46784</x:v>
      </x:c>
      <x:c r="B40" s="455" t="n">
        <x:f>'Scenario 1 Organic'!T33*Assumptions!$B$50</x:f>
        <x:v>55915.299999999996</x:v>
      </x:c>
      <x:c r="C40" s="455" t="n">
        <x:f>'Scenario 2 Fund'!T33*Assumptions!$B$50</x:f>
        <x:v>221186.6875</x:v>
      </x:c>
      <x:c r="D40" s="455" t="n">
        <x:f>'Scenario 1 Organic'!T78</x:f>
        <x:v>1807642.0854166667</x:v>
      </x:c>
      <x:c r="E40" s="455" t="n">
        <x:f>'Scenario 2 Fund'!T78</x:f>
        <x:v>12149459.376435377</x:v>
      </x:c>
      <x:c r="F40" s="455" t="n">
        <x:f>'Professional P&amp;L'!T19</x:f>
        <x:v>826892.8694444445</x:v>
      </x:c>
      <x:c r="G40" s="455" t="n">
        <x:f>'Professional P&amp;L'!T36</x:f>
        <x:v>3019729.2125116223</x:v>
      </x:c>
      <x:c r="H40" s="61"/>
      <x:c r="I40" s="61"/>
      <x:c r="J40" s="61"/>
    </x:row>
    <x:row r="41">
      <x:c r="A41" s="472" t="n">
        <x:f>'Scenario 1 Organic'!U4</x:f>
        <x:v>46813</x:v>
      </x:c>
      <x:c r="B41" s="455" t="n">
        <x:f>'Scenario 1 Organic'!U33*Assumptions!$B$50</x:f>
        <x:v>61333.18</x:v>
      </x:c>
      <x:c r="C41" s="455" t="n">
        <x:f>'Scenario 2 Fund'!U33*Assumptions!$B$50</x:f>
        <x:v>289379.0425</x:v>
      </x:c>
      <x:c r="D41" s="455" t="n">
        <x:f>'Scenario 1 Organic'!U78</x:f>
        <x:v>1732833.6554166668</x:v>
      </x:c>
      <x:c r="E41" s="455" t="n">
        <x:f>'Scenario 2 Fund'!U78</x:f>
        <x:v>16187370.670102563</x:v>
      </x:c>
      <x:c r="F41" s="455" t="n">
        <x:f>'Professional P&amp;L'!U19</x:f>
        <x:v>1012759.1916666668</x:v>
      </x:c>
      <x:c r="G41" s="455" t="n">
        <x:f>'Professional P&amp;L'!U36</x:f>
        <x:v>3899143.7548867525</x:v>
      </x:c>
      <x:c r="H41" s="61"/>
      <x:c r="I41" s="61"/>
      <x:c r="J41" s="61"/>
    </x:row>
    <x:row r="42">
      <x:c r="A42" s="472" t="n">
        <x:f>'Scenario 1 Organic'!V4</x:f>
        <x:v>46844</x:v>
      </x:c>
      <x:c r="B42" s="455" t="n">
        <x:f>'Scenario 1 Organic'!V33*Assumptions!$B$50</x:f>
        <x:v>106516.90999999999</x:v>
      </x:c>
      <x:c r="C42" s="455" t="n">
        <x:f>'Scenario 2 Fund'!V33*Assumptions!$B$50</x:f>
        <x:v>311988.27249999996</x:v>
      </x:c>
      <x:c r="D42" s="455" t="n">
        <x:f>'Scenario 1 Organic'!V78</x:f>
        <x:v>3579698.1066666665</x:v>
      </x:c>
      <x:c r="E42" s="455" t="n">
        <x:f>'Scenario 2 Fund'!V78</x:f>
        <x:v>21763410.488769747</x:v>
      </x:c>
      <x:c r="F42" s="455" t="n">
        <x:f>'Professional P&amp;L'!V19</x:f>
        <x:v>1324847.40625</x:v>
      </x:c>
      <x:c r="G42" s="455" t="n">
        <x:f>'Professional P&amp;L'!V36</x:f>
        <x:v>4858509.937886883</x:v>
      </x:c>
      <x:c r="H42" s="61"/>
      <x:c r="I42" s="61"/>
      <x:c r="J42" s="61"/>
    </x:row>
  </x:sheetData>
  <x:mergeCells>
    <x:mergeCell ref="A1:J1"/>
    <x:mergeCell ref="A2:J2"/>
    <x:mergeCell ref="A20:J20"/>
  </x:mergeCells>
  <x:pageMargins left="0.7" right="0.7" top="0.75" bottom="0.75" header="0.3" footer="0.3"/>
</x:worksheet>
</file>

<file path=xl/worksheets/sheet12.xml><?xml version="1.0" encoding="utf-8"?>
<x:worksheet xmlns:x="http://schemas.openxmlformats.org/spreadsheetml/2006/main">
  <x:sheetFormatPr defaultRowHeight="15"/>
  <x:cols>
    <x:col min="1" max="1" width="18" hidden="0" customWidth="1"/>
    <x:col min="2" max="2" width="35" hidden="0" customWidth="1"/>
    <x:col min="3" max="3" width="35" hidden="0" customWidth="1"/>
    <x:col min="4" max="4" width="30" hidden="0" customWidth="1"/>
    <x:col min="5" max="5" width="28" hidden="0" customWidth="1"/>
    <x:col min="6" max="6" width="22" hidden="0" customWidth="1"/>
    <x:col min="7" max="7" width="56" hidden="0" customWidth="1"/>
  </x:cols>
  <x:sheetData>
    <x:row r="1" ht="30" customHeight="1">
      <x:c r="A1" s="433" t="str">
        <x:v>MAGNÆRA™ — OPERATING COST COVERAGE &amp; DILIGENCE MAP</x:v>
      </x:c>
      <x:c r="B1" s="433"/>
      <x:c r="C1" s="433"/>
      <x:c r="D1" s="433"/>
      <x:c r="E1" s="433"/>
      <x:c r="F1" s="433"/>
      <x:c r="G1" s="433"/>
    </x:row>
    <x:row r="2" ht="32" customHeight="1">
      <x:c r="A2" s="436" t="str">
        <x:v>This schedule shows which costs are explicitly modelled, which are embedded in source OPEX envelopes, and which remain open diligence items. The objective is to avoid both omitted costs and double counting.</x:v>
      </x:c>
      <x:c r="B2" s="436"/>
      <x:c r="C2" s="436"/>
      <x:c r="D2" s="436"/>
      <x:c r="E2" s="436"/>
      <x:c r="F2" s="436"/>
      <x:c r="G2" s="436"/>
    </x:row>
    <x:row r="4">
      <x:c r="A4" s="470" t="str">
        <x:v>Cost area</x:v>
      </x:c>
      <x:c r="B4" s="470" t="str">
        <x:v>Specific item</x:v>
      </x:c>
      <x:c r="C4" s="470" t="str">
        <x:v>Model treatment</x:v>
      </x:c>
      <x:c r="D4" s="470" t="str">
        <x:v>Driver / source</x:v>
      </x:c>
      <x:c r="E4" s="470" t="str">
        <x:v>Where modelled</x:v>
      </x:c>
      <x:c r="F4" s="470" t="str">
        <x:v>Status</x:v>
      </x:c>
      <x:c r="G4" s="470" t="str">
        <x:v>Investor note</x:v>
      </x:c>
    </x:row>
    <x:row r="5">
      <x:c r="A5" s="61" t="str">
        <x:v>Personnel</x:v>
      </x:c>
      <x:c r="B5" s="61" t="str">
        <x:v>COO / operations</x:v>
      </x:c>
      <x:c r="C5" s="61" t="str">
        <x:v>Explicit lean monthly line</x:v>
      </x:c>
      <x:c r="D5" s="61" t="str">
        <x:v>€6,000/month</x:v>
      </x:c>
      <x:c r="E5" s="61" t="str">
        <x:v>Personnel &amp; OPEX</x:v>
      </x:c>
      <x:c r="F5" s="61" t="str">
        <x:v>Source-backed</x:v>
      </x:c>
      <x:c r="G5" s="61" t="str">
        <x:v>Treated as fully loaded pending payroll confirmation.</x:v>
      </x:c>
    </x:row>
    <x:row r="6">
      <x:c r="A6" s="61" t="str">
        <x:v>Personnel</x:v>
      </x:c>
      <x:c r="B6" s="61" t="str">
        <x:v>Designers / collections / packs</x:v>
      </x:c>
      <x:c r="C6" s="61" t="str">
        <x:v>Explicit lean monthly line</x:v>
      </x:c>
      <x:c r="D6" s="61" t="str">
        <x:v>€3,000/month</x:v>
      </x:c>
      <x:c r="E6" s="61" t="str">
        <x:v>Personnel &amp; OPEX</x:v>
      </x:c>
      <x:c r="F6" s="61" t="str">
        <x:v>Source-backed</x:v>
      </x:c>
      <x:c r="G6" s="61" t="str">
        <x:v>Creative / collection adaptation.</x:v>
      </x:c>
    </x:row>
    <x:row r="7">
      <x:c r="A7" s="61" t="str">
        <x:v>Personnel</x:v>
      </x:c>
      <x:c r="B7" s="61" t="str">
        <x:v>Headcount &amp; field operations</x:v>
      </x:c>
      <x:c r="C7" s="61" t="str">
        <x:v>Scale-up envelope</x:v>
      </x:c>
      <x:c r="D7" s="61" t="str">
        <x:v>€142,346/month @ 500 machines; scales post-500</x:v>
      </x:c>
      <x:c r="E7" s="61" t="str">
        <x:v>Personnel &amp; OPEX</x:v>
      </x:c>
      <x:c r="F7" s="61" t="str">
        <x:v>Source-backed grouped total</x:v>
      </x:c>
      <x:c r="G7" s="61" t="str">
        <x:v>Network staffing and field support grow with installed base.</x:v>
      </x:c>
    </x:row>
    <x:row r="8">
      <x:c r="A8" s="61" t="str">
        <x:v>Personnel</x:v>
      </x:c>
      <x:c r="B8" s="61" t="str">
        <x:v>Employer social security / benefits</x:v>
      </x:c>
      <x:c r="C8" s="61" t="str">
        <x:v>Assumed embedded</x:v>
      </x:c>
      <x:c r="D8" s="61" t="str">
        <x:v>No separate source line</x:v>
      </x:c>
      <x:c r="E8" s="61" t="str">
        <x:v>Assumptions / Cost Coverage</x:v>
      </x:c>
      <x:c r="F8" s="526" t="str">
        <x:v>Confirm</x:v>
      </x:c>
      <x:c r="G8" s="61" t="str">
        <x:v>No second payroll burden added to avoid unsupported double counting.</x:v>
      </x:c>
    </x:row>
    <x:row r="9">
      <x:c r="A9" s="61" t="str">
        <x:v>Technology</x:v>
      </x:c>
      <x:c r="B9" s="61" t="str">
        <x:v>NEXUS / software development</x:v>
      </x:c>
      <x:c r="C9" s="61" t="str">
        <x:v>Explicit lean monthly line</x:v>
      </x:c>
      <x:c r="D9" s="61" t="str">
        <x:v>€1,000/month</x:v>
      </x:c>
      <x:c r="E9" s="61" t="str">
        <x:v>Personnel &amp; OPEX</x:v>
      </x:c>
      <x:c r="F9" s="61" t="str">
        <x:v>Source-backed</x:v>
      </x:c>
      <x:c r="G9" s="61" t="str">
        <x:v>Maintenance and incremental development.</x:v>
      </x:c>
    </x:row>
    <x:row r="10">
      <x:c r="A10" s="61" t="str">
        <x:v>Technology</x:v>
      </x:c>
      <x:c r="B10" s="61" t="str">
        <x:v>Technology / cloud / data scale-up</x:v>
      </x:c>
      <x:c r="C10" s="61" t="str">
        <x:v>Scale-up envelope</x:v>
      </x:c>
      <x:c r="D10" s="61" t="str">
        <x:v>€44,059/month @ 500 machines; 0.65x elasticity thereafter</x:v>
      </x:c>
      <x:c r="E10" s="61" t="str">
        <x:v>Personnel &amp; OPEX</x:v>
      </x:c>
      <x:c r="F10" s="61" t="str">
        <x:v>Source-backed grouped total</x:v>
      </x:c>
      <x:c r="G10" s="61" t="str">
        <x:v>Platform leverage reduces growth relative to machine count.</x:v>
      </x:c>
    </x:row>
    <x:row r="11">
      <x:c r="A11" s="61" t="str">
        <x:v>Commercial</x:v>
      </x:c>
      <x:c r="B11" s="61" t="str">
        <x:v>Commercial / licences / partners</x:v>
      </x:c>
      <x:c r="C11" s="61" t="str">
        <x:v>Explicit lean monthly line</x:v>
      </x:c>
      <x:c r="D11" s="61" t="str">
        <x:v>€1,000/month</x:v>
      </x:c>
      <x:c r="E11" s="61" t="str">
        <x:v>Personnel &amp; OPEX</x:v>
      </x:c>
      <x:c r="F11" s="61" t="str">
        <x:v>Source-backed</x:v>
      </x:c>
      <x:c r="G11" s="61" t="str">
        <x:v>Lean commercial support.</x:v>
      </x:c>
    </x:row>
    <x:row r="12">
      <x:c r="A12" s="61" t="str">
        <x:v>Commercial</x:v>
      </x:c>
      <x:c r="B12" s="61" t="str">
        <x:v>Brand / launch / sales operations</x:v>
      </x:c>
      <x:c r="C12" s="61" t="str">
        <x:v>Scale-up envelope</x:v>
      </x:c>
      <x:c r="D12" s="61" t="str">
        <x:v>€40,670/month @ 500 machines; 0.60x elasticity thereafter</x:v>
      </x:c>
      <x:c r="E12" s="61" t="str">
        <x:v>Personnel &amp; OPEX</x:v>
      </x:c>
      <x:c r="F12" s="61" t="str">
        <x:v>Source-backed grouped total</x:v>
      </x:c>
      <x:c r="G12" s="61" t="str">
        <x:v>Launch and sales capacity grows with network.</x:v>
      </x:c>
    </x:row>
    <x:row r="13">
      <x:c r="A13" s="61" t="str">
        <x:v>Legal / IP</x:v>
      </x:c>
      <x:c r="B13" s="61" t="str">
        <x:v>Legal / intellectual property</x:v>
      </x:c>
      <x:c r="C13" s="61" t="str">
        <x:v>Explicit lean monthly line</x:v>
      </x:c>
      <x:c r="D13" s="61" t="str">
        <x:v>€2,000/month</x:v>
      </x:c>
      <x:c r="E13" s="61" t="str">
        <x:v>Personnel &amp; OPEX</x:v>
      </x:c>
      <x:c r="F13" s="61" t="str">
        <x:v>Source-backed</x:v>
      </x:c>
      <x:c r="G13" s="61" t="str">
        <x:v>Base legal and IP support.</x:v>
      </x:c>
    </x:row>
    <x:row r="14">
      <x:c r="A14" s="61" t="str">
        <x:v>Legal / IP</x:v>
      </x:c>
      <x:c r="B14" s="61" t="str">
        <x:v>Legal / commercial / licences scale-up</x:v>
      </x:c>
      <x:c r="C14" s="61" t="str">
        <x:v>Scale-up envelope</x:v>
      </x:c>
      <x:c r="D14" s="61" t="str">
        <x:v>€27,113/month @ 500 machines; 0.50x elasticity thereafter</x:v>
      </x:c>
      <x:c r="E14" s="61" t="str">
        <x:v>Personnel &amp; OPEX</x:v>
      </x:c>
      <x:c r="F14" s="61" t="str">
        <x:v>Source-backed grouped total</x:v>
      </x:c>
      <x:c r="G14" s="61" t="str">
        <x:v>Rights and commercial complexity grow with footprint.</x:v>
      </x:c>
    </x:row>
    <x:row r="15">
      <x:c r="A15" s="61" t="str">
        <x:v>Office / G&amp;A</x:v>
      </x:c>
      <x:c r="B15" s="61" t="str">
        <x:v>Rent / administration</x:v>
      </x:c>
      <x:c r="C15" s="61" t="str">
        <x:v>Explicit lean monthly line</x:v>
      </x:c>
      <x:c r="D15" s="61" t="str">
        <x:v>€2,700/month</x:v>
      </x:c>
      <x:c r="E15" s="61" t="str">
        <x:v>Personnel &amp; OPEX</x:v>
      </x:c>
      <x:c r="F15" s="61" t="str">
        <x:v>Source-backed</x:v>
      </x:c>
      <x:c r="G15" s="61" t="str">
        <x:v>Office / administration base line.</x:v>
      </x:c>
    </x:row>
    <x:row r="16">
      <x:c r="A16" s="61" t="str">
        <x:v>Office / G&amp;A</x:v>
      </x:c>
      <x:c r="B16" s="61" t="str">
        <x:v>Insurance / permits / finance / administration</x:v>
      </x:c>
      <x:c r="C16" s="61" t="str">
        <x:v>Scale-up envelope</x:v>
      </x:c>
      <x:c r="D16" s="61" t="str">
        <x:v>€33,892/month @ 500 machines; 0.50x elasticity thereafter</x:v>
      </x:c>
      <x:c r="E16" s="61" t="str">
        <x:v>Personnel &amp; OPEX</x:v>
      </x:c>
      <x:c r="F16" s="61" t="str">
        <x:v>Source-backed grouped total</x:v>
      </x:c>
      <x:c r="G16" s="61" t="str">
        <x:v>Corporate overhead grows sub-linearly.</x:v>
      </x:c>
    </x:row>
    <x:row r="17">
      <x:c r="A17" s="61" t="str">
        <x:v>Office / G&amp;A</x:v>
      </x:c>
      <x:c r="B17" s="61" t="str">
        <x:v>Utilities / telecom / cleaning / audit / payroll admin</x:v>
      </x:c>
      <x:c r="C17" s="61" t="str">
        <x:v>Embedded in rent/admin and mature G&amp;A envelope</x:v>
      </x:c>
      <x:c r="D17" s="61" t="str">
        <x:v>No separate source line</x:v>
      </x:c>
      <x:c r="E17" s="61" t="str">
        <x:v>Cost Coverage</x:v>
      </x:c>
      <x:c r="F17" s="526" t="str">
        <x:v>Confirm</x:v>
      </x:c>
      <x:c r="G17" s="61" t="str">
        <x:v>Visible diligence item rather than invented additional cost.</x:v>
      </x:c>
    </x:row>
    <x:row r="18">
      <x:c r="A18" s="61" t="str">
        <x:v>Operations</x:v>
      </x:c>
      <x:c r="B18" s="61" t="str">
        <x:v>Outsourced logistics / warehouse</x:v>
      </x:c>
      <x:c r="C18" s="61" t="str">
        <x:v>Variable operating cost</x:v>
      </x:c>
      <x:c r="D18" s="61" t="str">
        <x:v>7.0% of vending sales</x:v>
      </x:c>
      <x:c r="E18" s="61" t="str">
        <x:v>Scenario P&amp;L / cash flow</x:v>
      </x:c>
      <x:c r="F18" s="61" t="str">
        <x:v>Source-backed</x:v>
      </x:c>
      <x:c r="G18" s="61" t="str">
        <x:v>Paid at 60 days.</x:v>
      </x:c>
    </x:row>
    <x:row r="19">
      <x:c r="A19" s="61" t="str">
        <x:v>Operations</x:v>
      </x:c>
      <x:c r="B19" s="61" t="str">
        <x:v>Internal mature logistics / routes</x:v>
      </x:c>
      <x:c r="C19" s="61" t="str">
        <x:v>Excluded while outsourced model active</x:v>
      </x:c>
      <x:c r="D19" s="61" t="str">
        <x:v>€50,838/month reference</x:v>
      </x:c>
      <x:c r="E19" s="61" t="str">
        <x:v>OPEX Scale</x:v>
      </x:c>
      <x:c r="F19" s="61" t="str">
        <x:v>Source-backed, excluded</x:v>
      </x:c>
      <x:c r="G19" s="61" t="str">
        <x:v>Would replace - not supplement - 7% outsourced logistics if internalised.</x:v>
      </x:c>
    </x:row>
    <x:row r="20">
      <x:c r="A20" s="61" t="str">
        <x:v>Operations</x:v>
      </x:c>
      <x:c r="B20" s="61" t="str">
        <x:v>Handling / replenishment</x:v>
      </x:c>
      <x:c r="C20" s="61" t="str">
        <x:v>Variable operating cost</x:v>
      </x:c>
      <x:c r="D20" s="61" t="str">
        <x:v>€0.25 per unit sold</x:v>
      </x:c>
      <x:c r="E20" s="61" t="str">
        <x:v>Scenario P&amp;L</x:v>
      </x:c>
      <x:c r="F20" s="61" t="str">
        <x:v>Source-backed</x:v>
      </x:c>
      <x:c r="G20" s="61" t="str">
        <x:v>Volume-linked.</x:v>
      </x:c>
    </x:row>
    <x:row r="21">
      <x:c r="A21" s="61" t="str">
        <x:v>Operations</x:v>
      </x:c>
      <x:c r="B21" s="61" t="str">
        <x:v>Repairs / spare parts</x:v>
      </x:c>
      <x:c r="C21" s="61" t="str">
        <x:v>Embedded in field operations; separate sensitivity defaults to €0</x:v>
      </x:c>
      <x:c r="D21" s="61" t="str">
        <x:v>No separate source amount</x:v>
      </x:c>
      <x:c r="E21" s="61" t="str">
        <x:v>Assumptions</x:v>
      </x:c>
      <x:c r="F21" s="526" t="str">
        <x:v>Open diligence</x:v>
      </x:c>
      <x:c r="G21" s="61" t="str">
        <x:v>Add dedicated reserve if maintenance SLA / spare budget is confirmed.</x:v>
      </x:c>
    </x:row>
    <x:row r="22">
      <x:c r="A22" s="61" t="str">
        <x:v>Sales economics</x:v>
      </x:c>
      <x:c r="B22" s="61" t="str">
        <x:v>Venue revenue share</x:v>
      </x:c>
      <x:c r="C22" s="61" t="str">
        <x:v>Variable operating cost</x:v>
      </x:c>
      <x:c r="D22" s="61" t="str">
        <x:v>15% of commercial vending sales</x:v>
      </x:c>
      <x:c r="E22" s="61" t="str">
        <x:v>Scenario P&amp;L</x:v>
      </x:c>
      <x:c r="F22" s="61" t="str">
        <x:v>Source-backed</x:v>
      </x:c>
      <x:c r="G22" s="61" t="str">
        <x:v>Does not apply to pilots.</x:v>
      </x:c>
    </x:row>
    <x:row r="23">
      <x:c r="A23" s="61" t="str">
        <x:v>Sales economics</x:v>
      </x:c>
      <x:c r="B23" s="61" t="str">
        <x:v>Payment processing</x:v>
      </x:c>
      <x:c r="C23" s="61" t="str">
        <x:v>Variable operating cost</x:v>
      </x:c>
      <x:c r="D23" s="61" t="str">
        <x:v>1.8% of collections</x:v>
      </x:c>
      <x:c r="E23" s="61" t="str">
        <x:v>Scenario P&amp;L</x:v>
      </x:c>
      <x:c r="F23" s="61" t="str">
        <x:v>Working assumption</x:v>
      </x:c>
      <x:c r="G23" s="61" t="str">
        <x:v>Applied to vending and campaign collections.</x:v>
      </x:c>
    </x:row>
    <x:row r="24">
      <x:c r="A24" s="61" t="str">
        <x:v>Product COGS</x:v>
      </x:c>
      <x:c r="B24" s="61" t="str">
        <x:v>Vending magnet manufacturing</x:v>
      </x:c>
      <x:c r="C24" s="61" t="str">
        <x:v>Variable COGS</x:v>
      </x:c>
      <x:c r="D24" s="61" t="str">
        <x:v>€3.473 weighted cost per unit</x:v>
      </x:c>
      <x:c r="E24" s="61" t="str">
        <x:v>Scenario P&amp;L / inventory</x:v>
      </x:c>
      <x:c r="F24" s="61" t="str">
        <x:v>Source-backed</x:v>
      </x:c>
      <x:c r="G24" s="61" t="str">
        <x:v>Standard / Premium / Swarovski mix.</x:v>
      </x:c>
    </x:row>
    <x:row r="25">
      <x:c r="A25" s="61" t="str">
        <x:v>Club campaigns</x:v>
      </x:c>
      <x:c r="B25" s="61" t="str">
        <x:v>Club revenue share</x:v>
      </x:c>
      <x:c r="C25" s="61" t="str">
        <x:v>Contra revenue / distribution</x:v>
      </x:c>
      <x:c r="D25" s="61" t="str">
        <x:v>40% of gross campaign billings</x:v>
      </x:c>
      <x:c r="E25" s="61" t="str">
        <x:v>Scenario P&amp;L</x:v>
      </x:c>
      <x:c r="F25" s="61" t="str">
        <x:v>Source-backed</x:v>
      </x:c>
      <x:c r="G25" s="61" t="str">
        <x:v>Not deducted twice from EBITDA.</x:v>
      </x:c>
    </x:row>
    <x:row r="26">
      <x:c r="A26" s="61" t="str">
        <x:v>Club campaigns</x:v>
      </x:c>
      <x:c r="B26" s="61" t="str">
        <x:v>Campaign manufacturing</x:v>
      </x:c>
      <x:c r="C26" s="61" t="str">
        <x:v>Variable COGS</x:v>
      </x:c>
      <x:c r="D26" s="61" t="str">
        <x:v>€5 per unit</x:v>
      </x:c>
      <x:c r="E26" s="61" t="str">
        <x:v>Scenario P&amp;L</x:v>
      </x:c>
      <x:c r="F26" s="61" t="str">
        <x:v>Source-backed</x:v>
      </x:c>
      <x:c r="G26" s="61" t="str">
        <x:v>5,000-unit Premium numbered campaign.</x:v>
      </x:c>
    </x:row>
    <x:row r="27">
      <x:c r="A27" s="61" t="str">
        <x:v>Club campaigns</x:v>
      </x:c>
      <x:c r="B27" s="61" t="str">
        <x:v>Campaign logistics / fulfilment</x:v>
      </x:c>
      <x:c r="C27" s="61" t="str">
        <x:v>Variable operating cost</x:v>
      </x:c>
      <x:c r="D27" s="61" t="str">
        <x:v>7% of gross billings</x:v>
      </x:c>
      <x:c r="E27" s="61" t="str">
        <x:v>Scenario P&amp;L</x:v>
      </x:c>
      <x:c r="F27" s="526" t="str">
        <x:v>Needs confirmation</x:v>
      </x:c>
      <x:c r="G27" s="61" t="str">
        <x:v>Carried from existing logistics assumption.</x:v>
      </x:c>
    </x:row>
    <x:row r="28">
      <x:c r="A28" s="61" t="str">
        <x:v>Tax</x:v>
      </x:c>
      <x:c r="B28" s="61" t="str">
        <x:v>Corporate income tax</x:v>
      </x:c>
      <x:c r="C28" s="61" t="str">
        <x:v>Analytical provision / liquidity reserve</x:v>
      </x:c>
      <x:c r="D28" s="61" t="str">
        <x:v>25% of positive EBIT</x:v>
      </x:c>
      <x:c r="E28" s="61" t="str">
        <x:v>Professional P&amp;L / Working Capital</x:v>
      </x:c>
      <x:c r="F28" s="61" t="str">
        <x:v>Management assumption</x:v>
      </x:c>
      <x:c r="G28" s="61" t="str">
        <x:v>Actual payment timing to be confirmed.</x:v>
      </x:c>
    </x:row>
    <x:row r="29">
      <x:c r="A29" s="61" t="str">
        <x:v>Tax</x:v>
      </x:c>
      <x:c r="B29" s="61" t="str">
        <x:v>VAT / import VAT</x:v>
      </x:c>
      <x:c r="C29" s="61" t="str">
        <x:v>VAT-neutral base-case convention</x:v>
      </x:c>
      <x:c r="D29" s="61" t="str">
        <x:v>Not treated as P&amp;L cost</x:v>
      </x:c>
      <x:c r="E29" s="61" t="str">
        <x:v>Assumptions</x:v>
      </x:c>
      <x:c r="F29" s="526" t="str">
        <x:v>Open diligence</x:v>
      </x:c>
      <x:c r="G29" s="61" t="str">
        <x:v>May affect cash timing / working capital.</x:v>
      </x:c>
    </x:row>
    <x:row r="30">
      <x:c r="A30" s="61" t="str">
        <x:v>Capex</x:v>
      </x:c>
      <x:c r="B30" s="61" t="str">
        <x:v>Machine hardware</x:v>
      </x:c>
      <x:c r="C30" s="61" t="str">
        <x:v>Capex / cash schedule</x:v>
      </x:c>
      <x:c r="D30" s="61" t="str">
        <x:v>€2,767.67 weighted landed cost per machine</x:v>
      </x:c>
      <x:c r="E30" s="61" t="str">
        <x:v>Scenario cash flow / Working Capital</x:v>
      </x:c>
      <x:c r="F30" s="61" t="str">
        <x:v>Source-backed</x:v>
      </x:c>
      <x:c r="G30" s="61" t="str">
        <x:v>25% deposit / 75% before shipment.</x:v>
      </x:c>
    </x:row>
    <x:row r="31">
      <x:c r="A31" s="61" t="str">
        <x:v>Capex</x:v>
      </x:c>
      <x:c r="B31" s="61" t="str">
        <x:v>Installation / commissioning</x:v>
      </x:c>
      <x:c r="C31" s="61" t="str">
        <x:v>Capex / deployment cash</x:v>
      </x:c>
      <x:c r="D31" s="61" t="str">
        <x:v>€150 per machine</x:v>
      </x:c>
      <x:c r="E31" s="61" t="str">
        <x:v>Scenario cash flow</x:v>
      </x:c>
      <x:c r="F31" s="61" t="str">
        <x:v>Source-backed</x:v>
      </x:c>
      <x:c r="G31" s="61" t="str">
        <x:v>Paid at 60 days after activation.</x:v>
      </x:c>
    </x:row>
    <x:row r="32">
      <x:c r="A32" s="61" t="str">
        <x:v>D&amp;A</x:v>
      </x:c>
      <x:c r="B32" s="61" t="str">
        <x:v>Machine depreciation</x:v>
      </x:c>
      <x:c r="C32" s="61" t="str">
        <x:v>Non-cash analytical expense</x:v>
      </x:c>
      <x:c r="D32" s="61" t="str">
        <x:v>60-month life</x:v>
      </x:c>
      <x:c r="E32" s="61" t="str">
        <x:v>Professional P&amp;L</x:v>
      </x:c>
      <x:c r="F32" s="61" t="str">
        <x:v>Management assumption</x:v>
      </x:c>
      <x:c r="G32" s="61" t="str">
        <x:v>Investor reporting addition.</x:v>
      </x:c>
    </x:row>
    <x:row r="33">
      <x:c r="A33" s="61" t="str">
        <x:v>Licensing</x:v>
      </x:c>
      <x:c r="B33" s="61" t="str">
        <x:v>Additional brand / club royalties</x:v>
      </x:c>
      <x:c r="C33" s="61" t="str">
        <x:v>Separate sensitivity</x:v>
      </x:c>
      <x:c r="D33" s="61" t="str">
        <x:v>0% base case beyond modelled revenue shares</x:v>
      </x:c>
      <x:c r="E33" s="61" t="str">
        <x:v>Assumptions</x:v>
      </x:c>
      <x:c r="F33" s="526" t="str">
        <x:v>Open diligence</x:v>
      </x:c>
      <x:c r="G33" s="61" t="str">
        <x:v>Final agreements could alter variable economics.</x:v>
      </x:c>
    </x:row>
  </x:sheetData>
  <x:mergeCells>
    <x:mergeCell ref="A1:G1"/>
    <x:mergeCell ref="A2:G2"/>
  </x:mergeCells>
  <x:pageMargins left="0.7" right="0.7" top="0.75" bottom="0.75" header="0.3" footer="0.3"/>
</x:worksheet>
</file>