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sethp\Dropbox\1 Crypto\CompoundFlow\"/>
    </mc:Choice>
  </mc:AlternateContent>
  <xr:revisionPtr revIDLastSave="0" documentId="8_{FC567522-F734-4606-88D0-2409C7893AD2}" xr6:coauthVersionLast="47" xr6:coauthVersionMax="47" xr10:uidLastSave="{00000000-0000-0000-0000-000000000000}"/>
  <bookViews>
    <workbookView xWindow="-28920" yWindow="-120" windowWidth="29040" windowHeight="15720" tabRatio="500" activeTab="2" xr2:uid="{00000000-000D-0000-FFFF-FFFF00000000}"/>
  </bookViews>
  <sheets>
    <sheet name="SUMMARY" sheetId="1" r:id="rId1"/>
    <sheet name="ARBCORE" sheetId="2" r:id="rId2"/>
    <sheet name="AURUM" sheetId="3" r:id="rId3"/>
    <sheet name="DSJ" sheetId="4" r:id="rId4"/>
    <sheet name="MEGAPRO" sheetId="5" r:id="rId5"/>
    <sheet name="QUANTRO" sheetId="6" r:id="rId6"/>
    <sheet name="PRICES" sheetId="7" r:id="rId7"/>
    <sheet name="DEPOSIT LOG"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7" l="1"/>
  <c r="N6" i="6"/>
  <c r="M6" i="6"/>
  <c r="L6" i="6"/>
  <c r="G6" i="6"/>
  <c r="F6" i="6"/>
  <c r="H6" i="6" s="1"/>
  <c r="G9" i="1" s="1"/>
  <c r="E6" i="6"/>
  <c r="D6" i="6"/>
  <c r="C6" i="6"/>
  <c r="I5" i="6"/>
  <c r="H5" i="6"/>
  <c r="A2" i="6"/>
  <c r="N6" i="5"/>
  <c r="M6" i="5"/>
  <c r="L6" i="5"/>
  <c r="F6" i="5"/>
  <c r="D6" i="5"/>
  <c r="C6" i="5"/>
  <c r="I5" i="5"/>
  <c r="I6" i="5" s="1"/>
  <c r="H8" i="1" s="1"/>
  <c r="E5" i="5"/>
  <c r="A2" i="5"/>
  <c r="L6" i="4"/>
  <c r="K6" i="4"/>
  <c r="J6" i="4"/>
  <c r="D6" i="4"/>
  <c r="C6" i="4"/>
  <c r="G5" i="4"/>
  <c r="G6" i="4" s="1"/>
  <c r="H7" i="1" s="1"/>
  <c r="E5" i="4"/>
  <c r="A2" i="4"/>
  <c r="N18" i="3"/>
  <c r="L18" i="3"/>
  <c r="E18" i="3"/>
  <c r="C18" i="3"/>
  <c r="D16" i="3"/>
  <c r="G16" i="3" s="1"/>
  <c r="C16" i="3"/>
  <c r="O15" i="3"/>
  <c r="D15" i="3"/>
  <c r="G15" i="3" s="1"/>
  <c r="I14" i="3"/>
  <c r="J14" i="3" s="1"/>
  <c r="K14" i="3" s="1"/>
  <c r="H14" i="3"/>
  <c r="D13" i="3"/>
  <c r="G13" i="3" s="1"/>
  <c r="C13" i="3"/>
  <c r="J12" i="3"/>
  <c r="K12" i="3" s="1"/>
  <c r="H12" i="3"/>
  <c r="F12" i="3"/>
  <c r="O8" i="3"/>
  <c r="N8" i="3"/>
  <c r="L8" i="3"/>
  <c r="E8" i="3"/>
  <c r="C8" i="3"/>
  <c r="I7" i="3"/>
  <c r="G7" i="3"/>
  <c r="I6" i="3"/>
  <c r="G6" i="3"/>
  <c r="I5" i="3"/>
  <c r="H5" i="3"/>
  <c r="A2" i="3"/>
  <c r="C12" i="2"/>
  <c r="Q11" i="2"/>
  <c r="L11" i="2"/>
  <c r="K11" i="2"/>
  <c r="H11" i="2"/>
  <c r="I11" i="2" s="1"/>
  <c r="D18" i="1" s="1"/>
  <c r="O10" i="2"/>
  <c r="L10" i="2"/>
  <c r="H16" i="1" s="1"/>
  <c r="H10" i="2"/>
  <c r="I10" i="2" s="1"/>
  <c r="G10" i="2"/>
  <c r="L9" i="2"/>
  <c r="H15" i="1" s="1"/>
  <c r="H9" i="2"/>
  <c r="I9" i="2" s="1"/>
  <c r="G9" i="2"/>
  <c r="L8" i="2"/>
  <c r="H17" i="1" s="1"/>
  <c r="H8" i="2"/>
  <c r="I8" i="2" s="1"/>
  <c r="D17" i="1" s="1"/>
  <c r="E8" i="2"/>
  <c r="G8" i="2" s="1"/>
  <c r="J8" i="2" s="1"/>
  <c r="L7" i="2"/>
  <c r="H14" i="1" s="1"/>
  <c r="H7" i="2"/>
  <c r="I7" i="2" s="1"/>
  <c r="G7" i="2"/>
  <c r="L6" i="2"/>
  <c r="H13" i="1" s="1"/>
  <c r="H6" i="2"/>
  <c r="I6" i="2" s="1"/>
  <c r="G6" i="2"/>
  <c r="J6" i="2" s="1"/>
  <c r="A2" i="2"/>
  <c r="H21" i="1"/>
  <c r="F18" i="1"/>
  <c r="C18" i="1"/>
  <c r="B18" i="1"/>
  <c r="M17" i="1"/>
  <c r="N17" i="1" s="1"/>
  <c r="L17" i="1"/>
  <c r="E17" i="1"/>
  <c r="C17" i="1"/>
  <c r="B17" i="1"/>
  <c r="M16" i="1"/>
  <c r="N16" i="1" s="1"/>
  <c r="L16" i="1"/>
  <c r="K16" i="1"/>
  <c r="E16" i="1"/>
  <c r="C16" i="1"/>
  <c r="B16" i="1"/>
  <c r="M15" i="1"/>
  <c r="N15" i="1" s="1"/>
  <c r="L15" i="1"/>
  <c r="E15" i="1"/>
  <c r="C15" i="1"/>
  <c r="B15" i="1"/>
  <c r="M14" i="1"/>
  <c r="N14" i="1" s="1"/>
  <c r="L14" i="1"/>
  <c r="E14" i="1"/>
  <c r="C14" i="1"/>
  <c r="B14" i="1"/>
  <c r="M13" i="1"/>
  <c r="L13" i="1"/>
  <c r="K13" i="1"/>
  <c r="C13" i="1"/>
  <c r="C20" i="1" s="1"/>
  <c r="N20" i="1" s="1"/>
  <c r="B13" i="1"/>
  <c r="M9" i="1"/>
  <c r="N9" i="1" s="1"/>
  <c r="L9" i="1"/>
  <c r="K9" i="1"/>
  <c r="F9" i="1"/>
  <c r="D9" i="1"/>
  <c r="C9" i="1"/>
  <c r="B9" i="1"/>
  <c r="M8" i="1"/>
  <c r="N8" i="1" s="1"/>
  <c r="L8" i="1"/>
  <c r="K8" i="1"/>
  <c r="D8" i="1"/>
  <c r="D11" i="1" s="1"/>
  <c r="C8" i="1"/>
  <c r="C11" i="1" s="1"/>
  <c r="B8" i="1"/>
  <c r="M7" i="1"/>
  <c r="L7" i="1"/>
  <c r="L11" i="1" s="1"/>
  <c r="K7" i="1"/>
  <c r="D7" i="1"/>
  <c r="C7" i="1"/>
  <c r="B7" i="1"/>
  <c r="M6" i="1"/>
  <c r="N6" i="1" s="1"/>
  <c r="L6" i="1"/>
  <c r="D6" i="1"/>
  <c r="C6" i="1"/>
  <c r="B6" i="1"/>
  <c r="G22" i="8"/>
  <c r="F22" i="8"/>
  <c r="J5" i="6" l="1"/>
  <c r="I6" i="6"/>
  <c r="H9" i="1" s="1"/>
  <c r="E6" i="5"/>
  <c r="F8" i="1" s="1"/>
  <c r="G5" i="5"/>
  <c r="F5" i="4"/>
  <c r="H5" i="4"/>
  <c r="E6" i="4"/>
  <c r="H16" i="3"/>
  <c r="J16" i="3"/>
  <c r="K16" i="3" s="1"/>
  <c r="H15" i="3"/>
  <c r="J15" i="3"/>
  <c r="K15" i="3" s="1"/>
  <c r="H13" i="3"/>
  <c r="J13" i="3"/>
  <c r="K13" i="3" s="1"/>
  <c r="J7" i="3"/>
  <c r="H7" i="3"/>
  <c r="G8" i="3"/>
  <c r="J6" i="3"/>
  <c r="H6" i="3"/>
  <c r="I8" i="3"/>
  <c r="J5" i="3"/>
  <c r="I18" i="3"/>
  <c r="H6" i="1" s="1"/>
  <c r="P11" i="2"/>
  <c r="Q12" i="2"/>
  <c r="M18" i="1"/>
  <c r="N18" i="1" s="1"/>
  <c r="H18" i="1"/>
  <c r="M11" i="2"/>
  <c r="N11" i="2" s="1"/>
  <c r="J18" i="1" s="1"/>
  <c r="J10" i="2"/>
  <c r="D16" i="1"/>
  <c r="J9" i="2"/>
  <c r="D15" i="1"/>
  <c r="K8" i="2"/>
  <c r="G17" i="1" s="1"/>
  <c r="M8" i="2"/>
  <c r="F17" i="1"/>
  <c r="J7" i="2"/>
  <c r="D14" i="1"/>
  <c r="I12" i="2"/>
  <c r="D13" i="1"/>
  <c r="D20" i="1" s="1"/>
  <c r="D21" i="1" s="1"/>
  <c r="K6" i="2"/>
  <c r="G13" i="1" s="1"/>
  <c r="M6" i="2"/>
  <c r="F13" i="1"/>
  <c r="J12" i="2"/>
  <c r="K12" i="2" s="1"/>
  <c r="N13" i="1"/>
  <c r="N19" i="1" s="1"/>
  <c r="M19" i="1"/>
  <c r="M20" i="1"/>
  <c r="N11" i="1"/>
  <c r="N21" i="1" s="1"/>
  <c r="C21" i="1"/>
  <c r="M11" i="1"/>
  <c r="M21" i="1" s="1"/>
  <c r="M10" i="1"/>
  <c r="N7" i="1"/>
  <c r="N10" i="1" s="1"/>
  <c r="K5" i="6" l="1"/>
  <c r="J6" i="6"/>
  <c r="J5" i="5"/>
  <c r="G6" i="5"/>
  <c r="H6" i="5" s="1"/>
  <c r="G8" i="1" s="1"/>
  <c r="H5" i="5"/>
  <c r="I5" i="4"/>
  <c r="H6" i="4"/>
  <c r="F6" i="4"/>
  <c r="G7" i="1" s="1"/>
  <c r="F7" i="1"/>
  <c r="K7" i="3"/>
  <c r="M7" i="3"/>
  <c r="H8" i="3"/>
  <c r="G18" i="3"/>
  <c r="K6" i="3"/>
  <c r="M6" i="3"/>
  <c r="K5" i="3"/>
  <c r="J8" i="3"/>
  <c r="P12" i="2"/>
  <c r="L18" i="1"/>
  <c r="K10" i="2"/>
  <c r="G16" i="1" s="1"/>
  <c r="M10" i="2"/>
  <c r="F16" i="1"/>
  <c r="K9" i="2"/>
  <c r="G15" i="1" s="1"/>
  <c r="M9" i="2"/>
  <c r="F15" i="1"/>
  <c r="N8" i="2"/>
  <c r="J17" i="1" s="1"/>
  <c r="O8" i="2"/>
  <c r="I17" i="1"/>
  <c r="K7" i="2"/>
  <c r="G14" i="1" s="1"/>
  <c r="M7" i="2"/>
  <c r="F14" i="1"/>
  <c r="F20" i="1" s="1"/>
  <c r="G20" i="1" s="1"/>
  <c r="N6" i="2"/>
  <c r="J13" i="1" s="1"/>
  <c r="I13" i="1"/>
  <c r="N22" i="1"/>
  <c r="I9" i="1" l="1"/>
  <c r="K6" i="6"/>
  <c r="J9" i="1" s="1"/>
  <c r="K8" i="3"/>
  <c r="J18" i="3"/>
  <c r="M12" i="2"/>
  <c r="N12" i="2" s="1"/>
  <c r="K5" i="5"/>
  <c r="J6" i="5"/>
  <c r="I6" i="4"/>
  <c r="J7" i="1" s="1"/>
  <c r="I7" i="1"/>
  <c r="O18" i="3"/>
  <c r="H18" i="3"/>
  <c r="G6" i="1" s="1"/>
  <c r="F6" i="1"/>
  <c r="F11" i="1" s="1"/>
  <c r="M8" i="3"/>
  <c r="M18" i="3" s="1"/>
  <c r="K6" i="1" s="1"/>
  <c r="K11" i="1" s="1"/>
  <c r="L20" i="1"/>
  <c r="L21" i="1" s="1"/>
  <c r="L19" i="1"/>
  <c r="N10" i="2"/>
  <c r="J16" i="1" s="1"/>
  <c r="I16" i="1"/>
  <c r="N9" i="2"/>
  <c r="J15" i="1" s="1"/>
  <c r="O9" i="2"/>
  <c r="K15" i="1" s="1"/>
  <c r="I15" i="1"/>
  <c r="N7" i="2"/>
  <c r="J14" i="1" s="1"/>
  <c r="O7" i="2"/>
  <c r="I14" i="1"/>
  <c r="I6" i="1" l="1"/>
  <c r="K18" i="3"/>
  <c r="J6" i="1" s="1"/>
  <c r="I8" i="1"/>
  <c r="I11" i="1" s="1"/>
  <c r="J11" i="1" s="1"/>
  <c r="K6" i="5"/>
  <c r="J8" i="1" s="1"/>
  <c r="G11" i="1"/>
  <c r="F21" i="1"/>
  <c r="G21" i="1" s="1"/>
  <c r="O12" i="2"/>
  <c r="K14" i="1"/>
  <c r="K20" i="1" s="1"/>
  <c r="K21" i="1" s="1"/>
  <c r="I20" i="1"/>
  <c r="J20" i="1" l="1"/>
  <c r="I21" i="1"/>
  <c r="J21" i="1" s="1"/>
</calcChain>
</file>

<file path=xl/sharedStrings.xml><?xml version="1.0" encoding="utf-8"?>
<sst xmlns="http://schemas.openxmlformats.org/spreadsheetml/2006/main" count="319" uniqueCount="170">
  <si>
    <t>DEPOSIT &amp; TRANSFER LOG</t>
  </si>
  <si>
    <t>DEPOSIT = new money in  |  TRANSFER = between platforms (internal)  |  WITHDRAWAL = back to personal wallet</t>
  </si>
  <si>
    <t>Date</t>
  </si>
  <si>
    <t>Type</t>
  </si>
  <si>
    <t>From</t>
  </si>
  <si>
    <t>To / Platform</t>
  </si>
  <si>
    <t>Asset</t>
  </si>
  <si>
    <t>Amount</t>
  </si>
  <si>
    <t>USD
Value</t>
  </si>
  <si>
    <t>Confirmed</t>
  </si>
  <si>
    <t>Notes / TX Hash</t>
  </si>
  <si>
    <t>DEPOSIT</t>
  </si>
  <si>
    <t>Aurum</t>
  </si>
  <si>
    <t>USD</t>
  </si>
  <si>
    <t>YES</t>
  </si>
  <si>
    <t>Initial Aurum XAI bot deposit — multiple sources incl Coinbase</t>
  </si>
  <si>
    <t>Zexi AI</t>
  </si>
  <si>
    <t>USDC</t>
  </si>
  <si>
    <t xml:space="preserve">CONFIRMED: CB USDC $100.12 → Zexi AI | ERC20: </t>
  </si>
  <si>
    <t>Neobank/Aurum</t>
  </si>
  <si>
    <t>TON</t>
  </si>
  <si>
    <t>TON $501 → LTC/USDT Neobank bot</t>
  </si>
  <si>
    <t>Arbcore USDT</t>
  </si>
  <si>
    <t>DSJ</t>
  </si>
  <si>
    <t>USDT</t>
  </si>
  <si>
    <t>CONFIRMED:  TRON 5,004.51 USDT → DSJ $5,000</t>
  </si>
  <si>
    <t>Quantum</t>
  </si>
  <si>
    <t>CONFIRMED: Uphold TRON 2,654.86 USDT → Quantum $2,650</t>
  </si>
  <si>
    <t>MegaPro</t>
  </si>
  <si>
    <t xml:space="preserve">CONFIRMED: Uphold TRON 201.16 USDT → Zexi AI | TRON: </t>
  </si>
  <si>
    <t>FAILED</t>
  </si>
  <si>
    <t>NO</t>
  </si>
  <si>
    <t>FAILED $250 deposit attempt Mar 26 — did not go through</t>
  </si>
  <si>
    <t>TRANSFER</t>
  </si>
  <si>
    <t>Aurum Neobank</t>
  </si>
  <si>
    <t>Arbcore SOL</t>
  </si>
  <si>
    <t>SOL</t>
  </si>
  <si>
    <t>Internal: SOL from Neobank → Arbcore | 32.6489 SOL</t>
  </si>
  <si>
    <t>Arbcore ETH</t>
  </si>
  <si>
    <t>ETH</t>
  </si>
  <si>
    <t>Internal: ETH from Neobank → Arbcore | 1.5391 ETH</t>
  </si>
  <si>
    <t>Restart</t>
  </si>
  <si>
    <t>LTC/USDT Bot</t>
  </si>
  <si>
    <t>RESTARTED LTC/USDT bot ~Apr 8 (stopped Mar 25)</t>
  </si>
  <si>
    <t>BTC/USDT Bot</t>
  </si>
  <si>
    <t>BTC</t>
  </si>
  <si>
    <t>RESTARTED BTC/USDT bot ~Apr 8 | 0.01198304 BTC (~$1,007)</t>
  </si>
  <si>
    <t>Arbcore XRP</t>
  </si>
  <si>
    <t>XRP</t>
  </si>
  <si>
    <t>WITHDRAWAL</t>
  </si>
  <si>
    <t>Arbcore Affiliate</t>
  </si>
  <si>
    <t>Partner</t>
  </si>
  <si>
    <t>Partner withdrawal from Affiliate wallet</t>
  </si>
  <si>
    <t>Internal transfer: Affiliate commissions → MegaPro</t>
  </si>
  <si>
    <t>Arbcore Affiliate - other</t>
  </si>
  <si>
    <t>Arbcore</t>
  </si>
  <si>
    <t>⚠  IMPORTANT — FOR INFORMATIONAL PURPOSES ONLY: The information and calculations contained in this spreadsheet are believed to be reliable but NO representations or warranties of any kind are made as to the accuracy, completeness, timeliness, or fitness for any particular purpose. Results may contain errors. Formulas and values may have been entered manually and have not been independently verified. All figures are estimates only and actual results will vary. Past performance of any platform does not guarantee future results. Participation in AI trading platforms or cryptocurrency investments involves substantial risk, including the complete loss of principal. This spreadsheet does not constitute financial, legal, tax, or investment advice. Only invest funds you are fully prepared to lose entirely.  |  CONFIDENTIALITY: This spreadsheet is intended solely for the personal use of the recipient. It may NOT be copied, forwarded, shared, distributed, or transmitted to any third party without express written permission. Unauthorized sharing is strictly prohibited.</t>
  </si>
  <si>
    <t>Platform</t>
  </si>
  <si>
    <t>Date
Started</t>
  </si>
  <si>
    <t>Deposited
($)</t>
  </si>
  <si>
    <t>Active
Capital ($)</t>
  </si>
  <si>
    <t>Crypto Held</t>
  </si>
  <si>
    <t>Profit
($)</t>
  </si>
  <si>
    <t>ROI
%</t>
  </si>
  <si>
    <t>Days
Running</t>
  </si>
  <si>
    <t>Daily
Avg ($)</t>
  </si>
  <si>
    <t>Daily
%</t>
  </si>
  <si>
    <t>Daily Current ($)</t>
  </si>
  <si>
    <t>Transferred
Out ($)</t>
  </si>
  <si>
    <t>Withdrawn
to Wallet ($)</t>
  </si>
  <si>
    <t>Withdrawal goal / Current Withdrawal</t>
  </si>
  <si>
    <t>🤖  TRADING BOTS</t>
  </si>
  <si>
    <t>AURUM</t>
  </si>
  <si>
    <t>MEGAPRO</t>
  </si>
  <si>
    <t>QUANTRO</t>
  </si>
  <si>
    <t>Total Withdrawn</t>
  </si>
  <si>
    <t>TRADING BOTS TOTAL</t>
  </si>
  <si>
    <t>⚡  ARBCORE ARBITRAGE  (crypto-native — qty × live price)</t>
  </si>
  <si>
    <t xml:space="preserve">  Arbcore — USDT</t>
  </si>
  <si>
    <t xml:space="preserve">  Arbcore — ETH</t>
  </si>
  <si>
    <t xml:space="preserve">  Arbcore — SOL</t>
  </si>
  <si>
    <t xml:space="preserve">  Arbcore — XRP ⚡</t>
  </si>
  <si>
    <t xml:space="preserve">  Arbcore — BTC ⏳</t>
  </si>
  <si>
    <t xml:space="preserve">  Arbcore — Affiliate USDT 🤝</t>
  </si>
  <si>
    <t>%</t>
  </si>
  <si>
    <t>ARBCORE TOTAL</t>
  </si>
  <si>
    <t>PORTFOLIO TOTAL</t>
  </si>
  <si>
    <t>Remaining to Withdraw before goal</t>
  </si>
  <si>
    <t>💡 Sort by Daily % (col I) to compare platform performance — redeploy from lowest to highest performers</t>
  </si>
  <si>
    <t>ARBCORE — ARBITRAGE PORTFOLIO</t>
  </si>
  <si>
    <t>Crypto qty × live price = current value  |  Prices pull from PRICES tab  |  Blue = input  |  Black = formula  |  Green = cross-sheet link</t>
  </si>
  <si>
    <t>Update qty (col D) when Arbcore shows new balance.  No hard $ goal — idle capital: any return beats holding.</t>
  </si>
  <si>
    <t>Deposited
(USD)</t>
  </si>
  <si>
    <t>Deposited #</t>
  </si>
  <si>
    <t>Additional Deposited</t>
  </si>
  <si>
    <t>Current
Qty</t>
  </si>
  <si>
    <t>Total Increase</t>
  </si>
  <si>
    <t>Price
(USD)</t>
  </si>
  <si>
    <t>Current
Value ($)</t>
  </si>
  <si>
    <t>Withdrawn
($)</t>
  </si>
  <si>
    <t>Notes</t>
  </si>
  <si>
    <t>Live Apr 16: $1,235.46 USDT ✓ | Coinbase USDC → Arbcore | $193.17 arb profit sending to  wallet</t>
  </si>
  <si>
    <t>Live Apr 16: 1.5391 ETH = $3,620.78 ✓ | Aurum Neobank → Arbcore Apr 2</t>
  </si>
  <si>
    <t>BTC ⏳</t>
  </si>
  <si>
    <t>Started Bitcoin - have purchased and added additional bitcoin</t>
  </si>
  <si>
    <t>Live Apr 16: 32.6489 SOL = $2,792.13 ✓ | Aurum Neobank → Arbcore Mar 31</t>
  </si>
  <si>
    <t>XRP ⚡</t>
  </si>
  <si>
    <t>Live Apr 16: 5,841.86 XRP = $8,237.03 ✓ | Coinbase XRP Apr 10-11</t>
  </si>
  <si>
    <t>Affiliate USDT 🤝</t>
  </si>
  <si>
    <t>COMMISSION INCOME — separate wallet | $3,712.28 total earned from 2 partners | Distributed: $1,100→MegaPro + $650+$200 partner withdrawals | Balance: $1,762.28</t>
  </si>
  <si>
    <t>Blue = manual input  |  Black = formula  |  Green = cross-sheet link</t>
  </si>
  <si>
    <t>Strategy / Bot</t>
  </si>
  <si>
    <t>Crypto #</t>
  </si>
  <si>
    <t>Current / Final Crypto #</t>
  </si>
  <si>
    <t>Current Daily ($)</t>
  </si>
  <si>
    <t>Crypto Transferred out</t>
  </si>
  <si>
    <t>Aurum XAI Bot</t>
  </si>
  <si>
    <t xml:space="preserve">Main Aurum AI bot | ~$34/day | Update active capital weekly - </t>
  </si>
  <si>
    <t>Zexi AI ⟳</t>
  </si>
  <si>
    <t>$100 CB USDC Mar 7 + $200 Uphold TRON Mar 26 | ERC20: 0xA7223aeC...5466D</t>
  </si>
  <si>
    <t>Affiliate Income</t>
  </si>
  <si>
    <t>AURUM TOTAL - SubTotal Current</t>
  </si>
  <si>
    <t>Aurum NeoBank</t>
  </si>
  <si>
    <t>LTC/USDT Bot ⟳</t>
  </si>
  <si>
    <t>RESTARTED Apr 8 (stopped Mar 25) | $633.34 USDT in trading</t>
  </si>
  <si>
    <t>SOL Bot ⟳</t>
  </si>
  <si>
    <t>Transferred 24.54 SOL to Arbcore 4/1/2026</t>
  </si>
  <si>
    <t>Cycle 2 LTC/USDT Bot ⟳</t>
  </si>
  <si>
    <t xml:space="preserve">RESTARTED Apr 8 (stopped Mar 25) | $633.34 USDT in trading Cashed out $642 4/17/26 sent to Safepal combined withother for Bitcoin Deposit into Arbcor </t>
  </si>
  <si>
    <t>BTC/USDT Bot ⟳</t>
  </si>
  <si>
    <t>RESTARTED Apr 8 | 0.01198304 BTC (~$1,007 at $84K), Cashed out 4/17/26 and sent to Safepal</t>
  </si>
  <si>
    <t>Eth Bot ⟳</t>
  </si>
  <si>
    <t>Transferred to Arbcore 4/1/2026</t>
  </si>
  <si>
    <t>AURUM TOTAL</t>
  </si>
  <si>
    <t>Deposits and Profits of NeoBank Transferred to Arbcore</t>
  </si>
  <si>
    <t>DSJ Wealth</t>
  </si>
  <si>
    <t>CONFIRMED: Uphold TRON 5,004.51 USDT Mar 15 | Dashboard Apr 16: $8,553.59 | ~$111/day | Referrals paid: on $500 JM + $500 MJ+ $500 LA</t>
  </si>
  <si>
    <t>DSJ TOTAL</t>
  </si>
  <si>
    <t>Account Balance (available for Withdrawl)</t>
  </si>
  <si>
    <t>Total Profit</t>
  </si>
  <si>
    <t>MegaPro AI</t>
  </si>
  <si>
    <t>Uphold ERC20 $510 + Coinbase $4,408 | GOLD plan ends ~Apr 20 | $1,100 received from Arbcore Affiliate Apr 15 | Update active capital after cycle . Sent 180 as a test withdrawal, new cycle started 4/20/26</t>
  </si>
  <si>
    <t>MEGAPRO TOTAL</t>
  </si>
  <si>
    <t>Membership</t>
  </si>
  <si>
    <t>Quantro Wallet</t>
  </si>
  <si>
    <t>Quantro</t>
  </si>
  <si>
    <t>CONFIRMED: Uphold TRON 2,654.86 USDT Mar 18 | Dashboard Apr 16: $1,636.01 earned | $4,286.01 reinvested | ~$70/day | Withdraw target: Jun 18 2026 , did two test withdrawals 4/16/26 both sucuessful</t>
  </si>
  <si>
    <t>QUANTUM TOTAL</t>
  </si>
  <si>
    <t>LIVE CRYPTO PRICES</t>
  </si>
  <si>
    <t>Update prices here — all Arbcore values recalculate automatically  |  Or use Excel 365: Data → Stocks for live feed</t>
  </si>
  <si>
    <t>Price (USD)</t>
  </si>
  <si>
    <t>Last Updated</t>
  </si>
  <si>
    <t>Source</t>
  </si>
  <si>
    <t>Arbcore Apr 16 — update manually</t>
  </si>
  <si>
    <t>https://coinmarketcap.com/currencies/bitcoin/</t>
  </si>
  <si>
    <t>Derived: $3,620.78 / 1.5391 ETH</t>
  </si>
  <si>
    <t>Cryptocurrency Prices, Charts And Market Capitalizations | CoinMarketCap</t>
  </si>
  <si>
    <t>Derived: $2,792.13 / 32.6489 SOL</t>
  </si>
  <si>
    <t>Derived: $8,237.03 / 5,841.86 XRP</t>
  </si>
  <si>
    <t>LTC</t>
  </si>
  <si>
    <t>Estimate — update manually</t>
  </si>
  <si>
    <t>Stablecoin — always $1.00</t>
  </si>
  <si>
    <t>Wallet</t>
  </si>
  <si>
    <t>Wallet USDC Mar 1-7 → Arbcore USDT position</t>
  </si>
  <si>
    <t>Wallet ERC20 $510 + Coinbase $4,408 → MegaPro</t>
  </si>
  <si>
    <t>Wallet XRP → Arbcore Apr 10-11 | 5,841.86 XRP</t>
  </si>
  <si>
    <t>Internal transfer: Affiliate commissions → ARBCORE to Wallet</t>
  </si>
  <si>
    <t xml:space="preserve">Internal transfer: Affiliate commissions → ARBCORE to wallet combined with other </t>
  </si>
  <si>
    <t>CRYPTO PORTFOLIO SUMMARY - EXAMPLE</t>
  </si>
  <si>
    <t>Updated: April 20, 2026  |  All figures pull live from platform tabs — edit platform tabs to update - For Educational Purposes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</si>
</sst>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164" formatCode="mm/dd/yyyy"/>
    <numFmt numFmtId="165" formatCode="\$#,##0.00"/>
    <numFmt numFmtId="166" formatCode="#,##0.0000"/>
    <numFmt numFmtId="167" formatCode="0.0000"/>
    <numFmt numFmtId="168" formatCode="0.000000"/>
    <numFmt numFmtId="169" formatCode="0.00000000"/>
    <numFmt numFmtId="170" formatCode="&quot;$&quot;#,##0.00"/>
    <numFmt numFmtId="171" formatCode="0.0000000"/>
    <numFmt numFmtId="172" formatCode="#,##0.000000"/>
    <numFmt numFmtId="173" formatCode="#,##0.0000000"/>
  </numFmts>
  <fonts count="38" x14ac:knownFonts="1">
    <font>
      <sz val="11"/>
      <color theme="1"/>
      <name val="Calibri"/>
      <family val="2"/>
      <charset val="1"/>
    </font>
    <font>
      <b/>
      <sz val="16"/>
      <color rgb="FFFFFFFF"/>
      <name val="Arial"/>
      <family val="2"/>
    </font>
    <font>
      <i/>
      <sz val="9"/>
      <color rgb="FFFFFFFF"/>
      <name val="Arial"/>
      <family val="2"/>
    </font>
    <font>
      <b/>
      <sz val="10"/>
      <color rgb="FFFFFFFF"/>
      <name val="Arial"/>
      <family val="2"/>
    </font>
    <font>
      <b/>
      <sz val="11"/>
      <color rgb="FFFFFFFF"/>
      <name val="Arial"/>
      <family val="2"/>
    </font>
    <font>
      <b/>
      <sz val="10"/>
      <color rgb="FF000000"/>
      <name val="Arial"/>
      <family val="2"/>
    </font>
    <font>
      <sz val="10"/>
      <color rgb="FF005C00"/>
      <name val="Arial"/>
      <family val="2"/>
    </font>
    <font>
      <sz val="10"/>
      <color rgb="FF000000"/>
      <name val="Arial"/>
      <family val="2"/>
    </font>
    <font>
      <b/>
      <sz val="13"/>
      <color rgb="FFFFFFFF"/>
      <name val="Arial"/>
      <family val="2"/>
    </font>
    <font>
      <i/>
      <sz val="9"/>
      <color rgb="FF88AACC"/>
      <name val="Arial"/>
      <family val="2"/>
    </font>
    <font>
      <b/>
      <sz val="14"/>
      <color rgb="FFFFFFFF"/>
      <name val="Arial"/>
      <family val="2"/>
    </font>
    <font>
      <sz val="10"/>
      <color rgb="FF0B4FD4"/>
      <name val="Arial"/>
      <family val="2"/>
    </font>
    <font>
      <sz val="10"/>
      <color rgb="FF555555"/>
      <name val="Arial"/>
      <family val="2"/>
    </font>
    <font>
      <i/>
      <sz val="9"/>
      <color rgb="FFAACCCC"/>
      <name val="Arial"/>
      <family val="2"/>
    </font>
    <font>
      <sz val="10"/>
      <color rgb="FF444444"/>
      <name val="Arial"/>
      <family val="2"/>
    </font>
    <font>
      <b/>
      <sz val="9"/>
      <color rgb="FF99BBFF"/>
      <name val="Arial"/>
      <family val="2"/>
    </font>
    <font>
      <sz val="9"/>
      <color rgb="FF000000"/>
      <name val="Arial"/>
      <family val="2"/>
    </font>
    <font>
      <b/>
      <sz val="9"/>
      <color rgb="FF88FF88"/>
      <name val="Arial"/>
      <family val="2"/>
    </font>
    <font>
      <sz val="8"/>
      <color rgb="FF444444"/>
      <name val="Arial"/>
      <family val="2"/>
    </font>
    <font>
      <b/>
      <sz val="9"/>
      <color rgb="FFFF8888"/>
      <name val="Arial"/>
      <family val="2"/>
    </font>
    <font>
      <b/>
      <sz val="9"/>
      <color rgb="FF88FFBB"/>
      <name val="Arial"/>
      <family val="2"/>
    </font>
    <font>
      <b/>
      <sz val="9"/>
      <color rgb="FFFFAAAA"/>
      <name val="Arial"/>
      <family val="2"/>
    </font>
    <font>
      <sz val="10"/>
      <color rgb="FFFF0000"/>
      <name val="Arial"/>
      <family val="2"/>
    </font>
    <font>
      <b/>
      <sz val="11"/>
      <color theme="0"/>
      <name val="Calibri"/>
      <family val="2"/>
    </font>
    <font>
      <b/>
      <sz val="10"/>
      <color rgb="FFFFFFFF"/>
      <name val="Arial"/>
      <family val="2"/>
    </font>
    <font>
      <sz val="11"/>
      <color rgb="FFFF0000"/>
      <name val="Calibri"/>
      <family val="2"/>
      <charset val="1"/>
    </font>
    <font>
      <sz val="10"/>
      <color rgb="FF005C00"/>
      <name val="Arial"/>
      <family val="2"/>
    </font>
    <font>
      <b/>
      <sz val="10"/>
      <color rgb="FF000000"/>
      <name val="Arial"/>
      <family val="2"/>
    </font>
    <font>
      <b/>
      <sz val="13"/>
      <color rgb="FFFFFFFF"/>
      <name val="Arial"/>
      <family val="2"/>
    </font>
    <font>
      <sz val="10"/>
      <color rgb="FF0B4FD4"/>
      <name val="Arial"/>
      <family val="2"/>
    </font>
    <font>
      <sz val="10"/>
      <color rgb="FF000000"/>
      <name val="Arial"/>
      <family val="2"/>
    </font>
    <font>
      <sz val="9"/>
      <color rgb="FF000000"/>
      <name val="Arial"/>
      <family val="2"/>
    </font>
    <font>
      <sz val="8"/>
      <color rgb="FF444444"/>
      <name val="Arial"/>
      <family val="2"/>
    </font>
    <font>
      <b/>
      <sz val="12"/>
      <color rgb="FFFFFFFF"/>
      <name val="Arial"/>
      <family val="2"/>
    </font>
    <font>
      <u/>
      <sz val="11"/>
      <color theme="10"/>
      <name val="Calibri"/>
      <family val="2"/>
      <charset val="1"/>
    </font>
    <font>
      <sz val="10"/>
      <color rgb="FF444444"/>
      <name val="Arial"/>
      <family val="2"/>
    </font>
    <font>
      <sz val="10"/>
      <color rgb="FF555555"/>
      <name val="Arial"/>
      <family val="2"/>
    </font>
    <font>
      <i/>
      <sz val="8"/>
      <color rgb="FF92400E"/>
      <name val="Calibri"/>
      <family val="2"/>
    </font>
  </fonts>
  <fills count="23">
    <fill>
      <patternFill patternType="none"/>
    </fill>
    <fill>
      <patternFill patternType="gray125"/>
    </fill>
    <fill>
      <patternFill patternType="solid">
        <fgColor rgb="FF1A2744"/>
        <bgColor rgb="FF1A3050"/>
      </patternFill>
    </fill>
    <fill>
      <patternFill patternType="solid">
        <fgColor rgb="FF2C3E6B"/>
        <bgColor rgb="FF1E3D6B"/>
      </patternFill>
    </fill>
    <fill>
      <patternFill patternType="solid">
        <fgColor rgb="FFEBF0F7"/>
        <bgColor rgb="FFFFFFFF"/>
      </patternFill>
    </fill>
    <fill>
      <patternFill patternType="solid">
        <fgColor rgb="FFFFFFFF"/>
        <bgColor rgb="FFEBF0F7"/>
      </patternFill>
    </fill>
    <fill>
      <patternFill patternType="solid">
        <fgColor rgb="FF0D3B2E"/>
        <bgColor rgb="FF1A3A1A"/>
      </patternFill>
    </fill>
    <fill>
      <patternFill patternType="solid">
        <fgColor rgb="FF1A3050"/>
        <bgColor rgb="FF1A2744"/>
      </patternFill>
    </fill>
    <fill>
      <patternFill patternType="solid">
        <fgColor rgb="FF2E4482"/>
        <bgColor rgb="FF2C3E6B"/>
      </patternFill>
    </fill>
    <fill>
      <patternFill patternType="solid">
        <fgColor rgb="FF1A5276"/>
        <bgColor rgb="FF1B4F72"/>
      </patternFill>
    </fill>
    <fill>
      <patternFill patternType="solid">
        <fgColor rgb="FF1B4F72"/>
        <bgColor rgb="FF1A5276"/>
      </patternFill>
    </fill>
    <fill>
      <patternFill patternType="solid">
        <fgColor rgb="FF154360"/>
        <bgColor rgb="FF1E3D6B"/>
      </patternFill>
    </fill>
    <fill>
      <patternFill patternType="solid">
        <fgColor rgb="FF2A4040"/>
        <bgColor rgb="FF1B4D3A"/>
      </patternFill>
    </fill>
    <fill>
      <patternFill patternType="solid">
        <fgColor rgb="FF1E3D6B"/>
        <bgColor rgb="FF154360"/>
      </patternFill>
    </fill>
    <fill>
      <patternFill patternType="solid">
        <fgColor rgb="FF1A3A1A"/>
        <bgColor rgb="FF0D3B2E"/>
      </patternFill>
    </fill>
    <fill>
      <patternFill patternType="solid">
        <fgColor rgb="FF3A1A1A"/>
        <bgColor rgb="FF1A2744"/>
      </patternFill>
    </fill>
    <fill>
      <patternFill patternType="solid">
        <fgColor rgb="FF1B4D3A"/>
        <bgColor rgb="FF2A4040"/>
      </patternFill>
    </fill>
    <fill>
      <patternFill patternType="solid">
        <fgColor rgb="FF6B1E1E"/>
        <bgColor rgb="FF3A1A1A"/>
      </patternFill>
    </fill>
    <fill>
      <patternFill patternType="solid">
        <fgColor rgb="FF0D3B2E"/>
        <bgColor indexed="64"/>
      </patternFill>
    </fill>
    <fill>
      <patternFill patternType="solid">
        <fgColor rgb="FF154360"/>
        <bgColor indexed="64"/>
      </patternFill>
    </fill>
    <fill>
      <patternFill patternType="solid">
        <fgColor rgb="FFEBF0F7"/>
        <bgColor indexed="64"/>
      </patternFill>
    </fill>
    <fill>
      <patternFill patternType="solid">
        <fgColor rgb="FFEBF0F7"/>
        <bgColor rgb="FFEBF0F7"/>
      </patternFill>
    </fill>
    <fill>
      <patternFill patternType="solid">
        <fgColor rgb="FFFEF3C7"/>
      </patternFill>
    </fill>
  </fills>
  <borders count="2">
    <border>
      <left/>
      <right/>
      <top/>
      <bottom/>
      <diagonal/>
    </border>
    <border>
      <left style="medium">
        <color rgb="FFF59E0B"/>
      </left>
      <right style="thin">
        <color rgb="FFFDE68A"/>
      </right>
      <top style="thin">
        <color rgb="FFFDE68A"/>
      </top>
      <bottom style="thin">
        <color rgb="FFFDE68A"/>
      </bottom>
      <diagonal/>
    </border>
  </borders>
  <cellStyleXfs count="2">
    <xf numFmtId="0" fontId="0" fillId="0" borderId="0"/>
    <xf numFmtId="0" fontId="34" fillId="0" borderId="0"/>
  </cellStyleXfs>
  <cellXfs count="162">
    <xf numFmtId="0" fontId="0" fillId="0" borderId="0" xfId="0"/>
    <xf numFmtId="0" fontId="8" fillId="2" borderId="0" xfId="0" applyFont="1" applyFill="1" applyAlignment="1">
      <alignment horizontal="center" vertical="center" wrapText="1"/>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5" fillId="4" borderId="0" xfId="0" applyFont="1" applyFill="1" applyAlignment="1">
      <alignment horizontal="left" vertical="center" wrapText="1"/>
    </xf>
    <xf numFmtId="164" fontId="6" fillId="4" borderId="0" xfId="0" applyNumberFormat="1" applyFont="1" applyFill="1" applyAlignment="1">
      <alignment horizontal="center" vertical="center" wrapText="1"/>
    </xf>
    <xf numFmtId="165" fontId="6" fillId="4" borderId="0" xfId="0" applyNumberFormat="1" applyFont="1" applyFill="1" applyAlignment="1">
      <alignment horizontal="center" vertical="center" wrapText="1"/>
    </xf>
    <xf numFmtId="10" fontId="6" fillId="4" borderId="0" xfId="0" applyNumberFormat="1" applyFont="1" applyFill="1" applyAlignment="1">
      <alignment horizontal="center" vertical="center" wrapText="1"/>
    </xf>
    <xf numFmtId="3" fontId="6" fillId="4" borderId="0" xfId="0" applyNumberFormat="1" applyFont="1" applyFill="1" applyAlignment="1">
      <alignment horizontal="center" vertical="center" wrapText="1"/>
    </xf>
    <xf numFmtId="0" fontId="5" fillId="5" borderId="0" xfId="0" applyFont="1" applyFill="1" applyAlignment="1">
      <alignment horizontal="left" vertical="center" wrapText="1"/>
    </xf>
    <xf numFmtId="164" fontId="6" fillId="5" borderId="0" xfId="0" applyNumberFormat="1" applyFont="1" applyFill="1" applyAlignment="1">
      <alignment horizontal="center" vertical="center" wrapText="1"/>
    </xf>
    <xf numFmtId="165" fontId="6" fillId="5" borderId="0" xfId="0" applyNumberFormat="1" applyFont="1" applyFill="1" applyAlignment="1">
      <alignment horizontal="center" vertical="center" wrapText="1"/>
    </xf>
    <xf numFmtId="10" fontId="6" fillId="5" borderId="0" xfId="0" applyNumberFormat="1" applyFont="1" applyFill="1" applyAlignment="1">
      <alignment horizontal="center" vertical="center" wrapText="1"/>
    </xf>
    <xf numFmtId="3" fontId="6" fillId="5" borderId="0" xfId="0" applyNumberFormat="1" applyFont="1" applyFill="1" applyAlignment="1">
      <alignment horizontal="center" vertical="center" wrapText="1"/>
    </xf>
    <xf numFmtId="165" fontId="3" fillId="3" borderId="0" xfId="0" applyNumberFormat="1" applyFont="1" applyFill="1" applyAlignment="1">
      <alignment horizontal="center" vertical="center" wrapText="1"/>
    </xf>
    <xf numFmtId="10" fontId="3" fillId="3" borderId="0" xfId="0" applyNumberFormat="1" applyFont="1" applyFill="1" applyAlignment="1">
      <alignment horizontal="center" vertical="center" wrapText="1"/>
    </xf>
    <xf numFmtId="0" fontId="7" fillId="4" borderId="0" xfId="0" applyFont="1" applyFill="1" applyAlignment="1">
      <alignment horizontal="left" vertical="center" wrapText="1"/>
    </xf>
    <xf numFmtId="0" fontId="7" fillId="5" borderId="0" xfId="0" applyFont="1" applyFill="1" applyAlignment="1">
      <alignment horizontal="left" vertical="center" wrapText="1"/>
    </xf>
    <xf numFmtId="165" fontId="3" fillId="6" borderId="0" xfId="0" applyNumberFormat="1" applyFont="1" applyFill="1" applyAlignment="1">
      <alignment horizontal="center" vertical="center" wrapText="1"/>
    </xf>
    <xf numFmtId="10" fontId="3" fillId="6" borderId="0" xfId="0" applyNumberFormat="1" applyFont="1" applyFill="1" applyAlignment="1">
      <alignment horizontal="center" vertical="center" wrapText="1"/>
    </xf>
    <xf numFmtId="165" fontId="4" fillId="2" borderId="0" xfId="0" applyNumberFormat="1" applyFont="1" applyFill="1" applyAlignment="1">
      <alignment horizontal="center" vertical="center" wrapText="1"/>
    </xf>
    <xf numFmtId="10" fontId="4" fillId="2" borderId="0" xfId="0" applyNumberFormat="1" applyFont="1" applyFill="1" applyAlignment="1">
      <alignment horizontal="center" vertical="center" wrapText="1"/>
    </xf>
    <xf numFmtId="0" fontId="0" fillId="2" borderId="0" xfId="0" applyFill="1"/>
    <xf numFmtId="165" fontId="11" fillId="4" borderId="0" xfId="0" applyNumberFormat="1" applyFont="1" applyFill="1" applyAlignment="1">
      <alignment horizontal="center" vertical="center" wrapText="1"/>
    </xf>
    <xf numFmtId="164" fontId="11" fillId="4" borderId="0" xfId="0" applyNumberFormat="1" applyFont="1" applyFill="1" applyAlignment="1">
      <alignment horizontal="center" vertical="center" wrapText="1"/>
    </xf>
    <xf numFmtId="0" fontId="12" fillId="4" borderId="0" xfId="0" applyFont="1" applyFill="1" applyAlignment="1">
      <alignment horizontal="left" vertical="center" wrapText="1"/>
    </xf>
    <xf numFmtId="165" fontId="11" fillId="5" borderId="0" xfId="0" applyNumberFormat="1" applyFont="1" applyFill="1" applyAlignment="1">
      <alignment horizontal="center" vertical="center" wrapText="1"/>
    </xf>
    <xf numFmtId="164" fontId="11" fillId="5" borderId="0" xfId="0" applyNumberFormat="1" applyFont="1" applyFill="1" applyAlignment="1">
      <alignment horizontal="center" vertical="center" wrapText="1"/>
    </xf>
    <xf numFmtId="0" fontId="12" fillId="5" borderId="0" xfId="0" applyFont="1" applyFill="1" applyAlignment="1">
      <alignment horizontal="left" vertical="center" wrapText="1"/>
    </xf>
    <xf numFmtId="165" fontId="7" fillId="4" borderId="0" xfId="0" applyNumberFormat="1" applyFont="1" applyFill="1" applyAlignment="1">
      <alignment horizontal="center" vertical="center" wrapText="1"/>
    </xf>
    <xf numFmtId="10" fontId="7" fillId="4" borderId="0" xfId="0" applyNumberFormat="1" applyFont="1" applyFill="1" applyAlignment="1">
      <alignment horizontal="center" vertical="center" wrapText="1"/>
    </xf>
    <xf numFmtId="3" fontId="7" fillId="4" borderId="0" xfId="0" applyNumberFormat="1" applyFont="1" applyFill="1" applyAlignment="1">
      <alignment horizontal="center" vertical="center" wrapText="1"/>
    </xf>
    <xf numFmtId="165" fontId="7" fillId="5" borderId="0" xfId="0" applyNumberFormat="1" applyFont="1" applyFill="1" applyAlignment="1">
      <alignment horizontal="center" vertical="center" wrapText="1"/>
    </xf>
    <xf numFmtId="10" fontId="7" fillId="5" borderId="0" xfId="0" applyNumberFormat="1" applyFont="1" applyFill="1" applyAlignment="1">
      <alignment horizontal="center" vertical="center" wrapText="1"/>
    </xf>
    <xf numFmtId="3" fontId="7" fillId="5" borderId="0" xfId="0" applyNumberFormat="1" applyFont="1" applyFill="1" applyAlignment="1">
      <alignment horizontal="center" vertical="center" wrapText="1"/>
    </xf>
    <xf numFmtId="165" fontId="3" fillId="8" borderId="0" xfId="0" applyNumberFormat="1" applyFont="1" applyFill="1" applyAlignment="1">
      <alignment horizontal="center" vertical="center" wrapText="1"/>
    </xf>
    <xf numFmtId="10" fontId="3" fillId="8" borderId="0" xfId="0" applyNumberFormat="1" applyFont="1" applyFill="1" applyAlignment="1">
      <alignment horizontal="center" vertical="center" wrapText="1"/>
    </xf>
    <xf numFmtId="165" fontId="3" fillId="9" borderId="0" xfId="0" applyNumberFormat="1" applyFont="1" applyFill="1" applyAlignment="1">
      <alignment horizontal="center" vertical="center" wrapText="1"/>
    </xf>
    <xf numFmtId="10" fontId="3" fillId="9" borderId="0" xfId="0" applyNumberFormat="1" applyFont="1" applyFill="1" applyAlignment="1">
      <alignment horizontal="center" vertical="center" wrapText="1"/>
    </xf>
    <xf numFmtId="165" fontId="3" fillId="10" borderId="0" xfId="0" applyNumberFormat="1" applyFont="1" applyFill="1" applyAlignment="1">
      <alignment horizontal="center" vertical="center" wrapText="1"/>
    </xf>
    <xf numFmtId="10" fontId="3" fillId="10" borderId="0" xfId="0" applyNumberFormat="1" applyFont="1" applyFill="1" applyAlignment="1">
      <alignment horizontal="center" vertical="center" wrapText="1"/>
    </xf>
    <xf numFmtId="165" fontId="3" fillId="11" borderId="0" xfId="0" applyNumberFormat="1" applyFont="1" applyFill="1" applyAlignment="1">
      <alignment horizontal="center" vertical="center" wrapText="1"/>
    </xf>
    <xf numFmtId="10" fontId="3" fillId="11" borderId="0" xfId="0" applyNumberFormat="1" applyFont="1" applyFill="1" applyAlignment="1">
      <alignment horizontal="center" vertical="center" wrapText="1"/>
    </xf>
    <xf numFmtId="166" fontId="11" fillId="4" borderId="0" xfId="0" applyNumberFormat="1" applyFont="1" applyFill="1" applyAlignment="1">
      <alignment horizontal="center" vertical="center" wrapText="1"/>
    </xf>
    <xf numFmtId="0" fontId="14" fillId="4" borderId="0" xfId="0" applyFont="1" applyFill="1" applyAlignment="1">
      <alignment horizontal="left" vertical="center" wrapText="1"/>
    </xf>
    <xf numFmtId="166" fontId="11" fillId="5" borderId="0" xfId="0" applyNumberFormat="1" applyFont="1" applyFill="1" applyAlignment="1">
      <alignment horizontal="center" vertical="center" wrapText="1"/>
    </xf>
    <xf numFmtId="0" fontId="14" fillId="5" borderId="0" xfId="0" applyFont="1" applyFill="1" applyAlignment="1">
      <alignment horizontal="left" vertical="center" wrapText="1"/>
    </xf>
    <xf numFmtId="164" fontId="7" fillId="4" borderId="0" xfId="0" applyNumberFormat="1" applyFont="1" applyFill="1" applyAlignment="1">
      <alignment horizontal="center" vertical="center" wrapText="1"/>
    </xf>
    <xf numFmtId="0" fontId="15" fillId="13" borderId="0" xfId="0" applyFont="1" applyFill="1" applyAlignment="1">
      <alignment horizontal="center" vertical="center" wrapText="1"/>
    </xf>
    <xf numFmtId="0" fontId="16" fillId="4" borderId="0" xfId="0" applyFont="1" applyFill="1" applyAlignment="1">
      <alignment horizontal="center" vertical="center" wrapText="1"/>
    </xf>
    <xf numFmtId="166" fontId="16" fillId="4" borderId="0" xfId="0" applyNumberFormat="1" applyFont="1" applyFill="1" applyAlignment="1">
      <alignment horizontal="center" vertical="center" wrapText="1"/>
    </xf>
    <xf numFmtId="165" fontId="16" fillId="4" borderId="0" xfId="0" applyNumberFormat="1" applyFont="1" applyFill="1" applyAlignment="1">
      <alignment horizontal="center" vertical="center" wrapText="1"/>
    </xf>
    <xf numFmtId="0" fontId="17" fillId="14" borderId="0" xfId="0" applyFont="1" applyFill="1" applyAlignment="1">
      <alignment horizontal="center" vertical="center" wrapText="1"/>
    </xf>
    <xf numFmtId="0" fontId="18" fillId="4" borderId="0" xfId="0" applyFont="1" applyFill="1" applyAlignment="1">
      <alignment horizontal="left" vertical="center" wrapText="1"/>
    </xf>
    <xf numFmtId="164" fontId="7" fillId="5" borderId="0" xfId="0" applyNumberFormat="1" applyFont="1" applyFill="1" applyAlignment="1">
      <alignment horizontal="center" vertical="center" wrapText="1"/>
    </xf>
    <xf numFmtId="0" fontId="16" fillId="5" borderId="0" xfId="0" applyFont="1" applyFill="1" applyAlignment="1">
      <alignment horizontal="center" vertical="center" wrapText="1"/>
    </xf>
    <xf numFmtId="166" fontId="16" fillId="5" borderId="0" xfId="0" applyNumberFormat="1" applyFont="1" applyFill="1" applyAlignment="1">
      <alignment horizontal="center" vertical="center" wrapText="1"/>
    </xf>
    <xf numFmtId="165" fontId="16" fillId="5" borderId="0" xfId="0" applyNumberFormat="1" applyFont="1" applyFill="1" applyAlignment="1">
      <alignment horizontal="center" vertical="center" wrapText="1"/>
    </xf>
    <xf numFmtId="0" fontId="18" fillId="5" borderId="0" xfId="0" applyFont="1" applyFill="1" applyAlignment="1">
      <alignment horizontal="left" vertical="center" wrapText="1"/>
    </xf>
    <xf numFmtId="0" fontId="19" fillId="15" borderId="0" xfId="0" applyFont="1" applyFill="1" applyAlignment="1">
      <alignment horizontal="center" vertical="center" wrapText="1"/>
    </xf>
    <xf numFmtId="0" fontId="20" fillId="16" borderId="0" xfId="0" applyFont="1" applyFill="1" applyAlignment="1">
      <alignment horizontal="center" vertical="center" wrapText="1"/>
    </xf>
    <xf numFmtId="0" fontId="21" fillId="17" borderId="0" xfId="0" applyFont="1" applyFill="1" applyAlignment="1">
      <alignment horizontal="center" vertical="center" wrapText="1"/>
    </xf>
    <xf numFmtId="0" fontId="0" fillId="18" borderId="0" xfId="0" applyFill="1"/>
    <xf numFmtId="0" fontId="0" fillId="19" borderId="0" xfId="0" applyFill="1"/>
    <xf numFmtId="1" fontId="3" fillId="11" borderId="0" xfId="0" applyNumberFormat="1" applyFont="1" applyFill="1" applyAlignment="1">
      <alignment horizontal="center" vertical="center" wrapText="1"/>
    </xf>
    <xf numFmtId="1" fontId="3" fillId="10" borderId="0" xfId="0" applyNumberFormat="1" applyFont="1" applyFill="1" applyAlignment="1">
      <alignment horizontal="center" vertical="center" wrapText="1"/>
    </xf>
    <xf numFmtId="1" fontId="3" fillId="9" borderId="0" xfId="0" applyNumberFormat="1" applyFont="1" applyFill="1" applyAlignment="1">
      <alignment horizontal="center" vertical="center" wrapText="1"/>
    </xf>
    <xf numFmtId="2" fontId="6" fillId="5" borderId="0" xfId="0" applyNumberFormat="1" applyFont="1" applyFill="1" applyAlignment="1">
      <alignment horizontal="center" vertical="center" wrapText="1"/>
    </xf>
    <xf numFmtId="167" fontId="11" fillId="5" borderId="0" xfId="0" applyNumberFormat="1" applyFont="1" applyFill="1" applyAlignment="1">
      <alignment horizontal="center" vertical="center" wrapText="1"/>
    </xf>
    <xf numFmtId="167" fontId="11" fillId="4" borderId="0" xfId="0" applyNumberFormat="1" applyFont="1" applyFill="1" applyAlignment="1">
      <alignment horizontal="center" vertical="center" wrapText="1"/>
    </xf>
    <xf numFmtId="168" fontId="11" fillId="4" borderId="0" xfId="0" applyNumberFormat="1" applyFont="1" applyFill="1" applyAlignment="1">
      <alignment horizontal="center" vertical="center" wrapText="1"/>
    </xf>
    <xf numFmtId="169" fontId="11" fillId="4" borderId="0" xfId="0" applyNumberFormat="1" applyFont="1" applyFill="1" applyAlignment="1">
      <alignment horizontal="center" vertical="center" wrapText="1"/>
    </xf>
    <xf numFmtId="165" fontId="22" fillId="4" borderId="0" xfId="0" applyNumberFormat="1" applyFont="1" applyFill="1" applyAlignment="1">
      <alignment horizontal="center" vertical="center" wrapText="1"/>
    </xf>
    <xf numFmtId="0" fontId="23" fillId="6" borderId="0" xfId="0" applyFont="1" applyFill="1" applyAlignment="1">
      <alignment horizontal="center" vertical="center"/>
    </xf>
    <xf numFmtId="0" fontId="24" fillId="2" borderId="0" xfId="0" applyFont="1" applyFill="1" applyAlignment="1">
      <alignment horizontal="center" vertical="center" wrapText="1"/>
    </xf>
    <xf numFmtId="170" fontId="25" fillId="20" borderId="0" xfId="0" applyNumberFormat="1" applyFont="1" applyFill="1" applyAlignment="1">
      <alignment horizontal="center" vertical="center"/>
    </xf>
    <xf numFmtId="170" fontId="25" fillId="0" borderId="0" xfId="0" applyNumberFormat="1" applyFont="1" applyAlignment="1">
      <alignment horizontal="center" vertical="center"/>
    </xf>
    <xf numFmtId="170" fontId="26" fillId="4" borderId="0" xfId="0" applyNumberFormat="1" applyFont="1" applyFill="1" applyAlignment="1">
      <alignment horizontal="center" vertical="center" wrapText="1"/>
    </xf>
    <xf numFmtId="170" fontId="6" fillId="5" borderId="0" xfId="0" applyNumberFormat="1" applyFont="1" applyFill="1" applyAlignment="1">
      <alignment horizontal="center" vertical="center" wrapText="1"/>
    </xf>
    <xf numFmtId="170" fontId="6" fillId="4" borderId="0" xfId="0" applyNumberFormat="1" applyFont="1" applyFill="1" applyAlignment="1">
      <alignment horizontal="center" vertical="center" wrapText="1"/>
    </xf>
    <xf numFmtId="170" fontId="7" fillId="4" borderId="0" xfId="0" applyNumberFormat="1" applyFont="1" applyFill="1" applyAlignment="1">
      <alignment horizontal="center" vertical="center" wrapText="1"/>
    </xf>
    <xf numFmtId="170" fontId="7" fillId="5" borderId="0" xfId="0" applyNumberFormat="1" applyFont="1" applyFill="1" applyAlignment="1">
      <alignment horizontal="center" vertical="center" wrapText="1"/>
    </xf>
    <xf numFmtId="170" fontId="3" fillId="6" borderId="0" xfId="0" applyNumberFormat="1" applyFont="1" applyFill="1" applyAlignment="1">
      <alignment horizontal="center" vertical="center" wrapText="1"/>
    </xf>
    <xf numFmtId="170" fontId="3" fillId="11" borderId="0" xfId="0" applyNumberFormat="1" applyFont="1" applyFill="1" applyAlignment="1">
      <alignment horizontal="center" vertical="center" wrapText="1"/>
    </xf>
    <xf numFmtId="6" fontId="7" fillId="4" borderId="0" xfId="0" applyNumberFormat="1" applyFont="1" applyFill="1" applyAlignment="1">
      <alignment horizontal="center" vertical="center" wrapText="1"/>
    </xf>
    <xf numFmtId="6" fontId="3" fillId="10" borderId="0" xfId="0" applyNumberFormat="1" applyFont="1" applyFill="1" applyAlignment="1">
      <alignment horizontal="center" vertical="center" wrapText="1"/>
    </xf>
    <xf numFmtId="170" fontId="3" fillId="3" borderId="0" xfId="0" applyNumberFormat="1" applyFont="1" applyFill="1" applyAlignment="1">
      <alignment horizontal="center" vertical="center" wrapText="1"/>
    </xf>
    <xf numFmtId="170" fontId="4" fillId="2" borderId="0" xfId="0" applyNumberFormat="1" applyFont="1" applyFill="1" applyAlignment="1">
      <alignment horizontal="center" vertical="center" wrapText="1"/>
    </xf>
    <xf numFmtId="164" fontId="6" fillId="21" borderId="0" xfId="0" applyNumberFormat="1" applyFont="1" applyFill="1" applyAlignment="1">
      <alignment horizontal="center" vertical="center" wrapText="1"/>
    </xf>
    <xf numFmtId="165" fontId="6" fillId="21" borderId="0" xfId="0" applyNumberFormat="1" applyFont="1" applyFill="1" applyAlignment="1">
      <alignment horizontal="center" vertical="center" wrapText="1"/>
    </xf>
    <xf numFmtId="10" fontId="6" fillId="21" borderId="0" xfId="0" applyNumberFormat="1" applyFont="1" applyFill="1" applyAlignment="1">
      <alignment horizontal="center" vertical="center" wrapText="1"/>
    </xf>
    <xf numFmtId="3" fontId="6" fillId="21" borderId="0" xfId="0" applyNumberFormat="1" applyFont="1" applyFill="1" applyAlignment="1">
      <alignment horizontal="center" vertical="center" wrapText="1"/>
    </xf>
    <xf numFmtId="170" fontId="6" fillId="21" borderId="0" xfId="0" applyNumberFormat="1" applyFont="1" applyFill="1" applyAlignment="1">
      <alignment horizontal="center" vertical="center" wrapText="1"/>
    </xf>
    <xf numFmtId="0" fontId="27" fillId="21" borderId="0" xfId="0" applyFont="1" applyFill="1" applyAlignment="1">
      <alignment horizontal="left" vertical="center" wrapText="1"/>
    </xf>
    <xf numFmtId="0" fontId="28" fillId="2" borderId="0" xfId="0" applyFont="1" applyFill="1" applyAlignment="1">
      <alignment horizontal="left" vertical="center"/>
    </xf>
    <xf numFmtId="0" fontId="27" fillId="4" borderId="0" xfId="0" applyFont="1" applyFill="1" applyAlignment="1">
      <alignment horizontal="left" vertical="center" wrapText="1"/>
    </xf>
    <xf numFmtId="171" fontId="11" fillId="4" borderId="0" xfId="0" applyNumberFormat="1" applyFont="1" applyFill="1" applyAlignment="1">
      <alignment horizontal="center" vertical="center" wrapText="1"/>
    </xf>
    <xf numFmtId="172" fontId="11" fillId="4" borderId="0" xfId="0" applyNumberFormat="1" applyFont="1" applyFill="1" applyAlignment="1">
      <alignment horizontal="center" vertical="center" wrapText="1"/>
    </xf>
    <xf numFmtId="173" fontId="11" fillId="4" borderId="0" xfId="0" applyNumberFormat="1" applyFont="1" applyFill="1" applyAlignment="1">
      <alignment horizontal="center" vertical="center" wrapText="1"/>
    </xf>
    <xf numFmtId="167" fontId="6" fillId="5" borderId="0" xfId="0" applyNumberFormat="1" applyFont="1" applyFill="1" applyAlignment="1">
      <alignment horizontal="center" vertical="center" wrapText="1"/>
    </xf>
    <xf numFmtId="167" fontId="6" fillId="4" borderId="0" xfId="0" applyNumberFormat="1" applyFont="1" applyFill="1" applyAlignment="1">
      <alignment horizontal="center" vertical="center" wrapText="1"/>
    </xf>
    <xf numFmtId="171" fontId="6" fillId="4" borderId="0" xfId="0" applyNumberFormat="1" applyFont="1" applyFill="1" applyAlignment="1">
      <alignment horizontal="center" vertical="center" wrapText="1"/>
    </xf>
    <xf numFmtId="169" fontId="29" fillId="4" borderId="0" xfId="0" applyNumberFormat="1" applyFont="1" applyFill="1" applyAlignment="1">
      <alignment horizontal="center" vertical="center" wrapText="1"/>
    </xf>
    <xf numFmtId="165" fontId="29" fillId="4" borderId="0" xfId="0" applyNumberFormat="1" applyFont="1" applyFill="1" applyAlignment="1">
      <alignment horizontal="center" vertical="center" wrapText="1"/>
    </xf>
    <xf numFmtId="3" fontId="29" fillId="4" borderId="0" xfId="0" applyNumberFormat="1" applyFont="1" applyFill="1" applyAlignment="1">
      <alignment horizontal="center" vertical="center" wrapText="1"/>
    </xf>
    <xf numFmtId="3" fontId="29" fillId="5" borderId="0" xfId="0" applyNumberFormat="1" applyFont="1" applyFill="1" applyAlignment="1">
      <alignment horizontal="center" vertical="center" wrapText="1"/>
    </xf>
    <xf numFmtId="165" fontId="29" fillId="5" borderId="0" xfId="0" applyNumberFormat="1" applyFont="1" applyFill="1" applyAlignment="1">
      <alignment horizontal="center" vertical="center" wrapText="1"/>
    </xf>
    <xf numFmtId="0" fontId="30" fillId="4" borderId="0" xfId="0" applyFont="1" applyFill="1" applyAlignment="1">
      <alignment horizontal="left" vertical="center" wrapText="1"/>
    </xf>
    <xf numFmtId="0" fontId="11" fillId="4" borderId="0" xfId="0" applyFont="1" applyFill="1" applyAlignment="1">
      <alignment horizontal="center" vertical="center" wrapText="1"/>
    </xf>
    <xf numFmtId="0" fontId="30" fillId="5" borderId="0" xfId="0" applyFont="1" applyFill="1" applyAlignment="1">
      <alignment horizontal="left" vertical="center" wrapText="1"/>
    </xf>
    <xf numFmtId="0" fontId="27" fillId="5" borderId="0" xfId="0" applyFont="1" applyFill="1" applyAlignment="1">
      <alignment horizontal="left" vertical="center" wrapText="1"/>
    </xf>
    <xf numFmtId="171" fontId="29" fillId="4" borderId="0" xfId="0" applyNumberFormat="1" applyFont="1" applyFill="1" applyAlignment="1">
      <alignment horizontal="center" vertical="center" wrapText="1"/>
    </xf>
    <xf numFmtId="3" fontId="23" fillId="8" borderId="0" xfId="0" applyNumberFormat="1" applyFont="1" applyFill="1" applyAlignment="1">
      <alignment horizontal="center" vertical="center"/>
    </xf>
    <xf numFmtId="10" fontId="26" fillId="5" borderId="0" xfId="0" applyNumberFormat="1" applyFont="1" applyFill="1" applyAlignment="1">
      <alignment horizontal="center" vertical="center" wrapText="1"/>
    </xf>
    <xf numFmtId="0" fontId="31" fillId="5" borderId="0" xfId="0" applyFont="1" applyFill="1" applyAlignment="1">
      <alignment horizontal="center" vertical="center" wrapText="1"/>
    </xf>
    <xf numFmtId="0" fontId="32" fillId="5" borderId="0" xfId="0" applyFont="1" applyFill="1" applyAlignment="1">
      <alignment horizontal="left" vertical="center" wrapText="1"/>
    </xf>
    <xf numFmtId="164" fontId="7" fillId="21" borderId="0" xfId="0" applyNumberFormat="1" applyFont="1" applyFill="1" applyAlignment="1">
      <alignment horizontal="center" vertical="center" wrapText="1"/>
    </xf>
    <xf numFmtId="0" fontId="31" fillId="21" borderId="0" xfId="0" applyFont="1" applyFill="1" applyAlignment="1">
      <alignment horizontal="center" vertical="center" wrapText="1"/>
    </xf>
    <xf numFmtId="166" fontId="16" fillId="21" borderId="0" xfId="0" applyNumberFormat="1" applyFont="1" applyFill="1" applyAlignment="1">
      <alignment horizontal="center" vertical="center" wrapText="1"/>
    </xf>
    <xf numFmtId="165" fontId="16" fillId="21" borderId="0" xfId="0" applyNumberFormat="1" applyFont="1" applyFill="1" applyAlignment="1">
      <alignment horizontal="center" vertical="center" wrapText="1"/>
    </xf>
    <xf numFmtId="0" fontId="3" fillId="0" borderId="0" xfId="0" applyFont="1" applyAlignment="1">
      <alignment horizontal="left" vertical="center" wrapText="1"/>
    </xf>
    <xf numFmtId="165" fontId="3"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3" fontId="23" fillId="0" borderId="0" xfId="0" applyNumberFormat="1" applyFont="1" applyAlignment="1">
      <alignment horizontal="center" vertical="center"/>
    </xf>
    <xf numFmtId="165" fontId="24" fillId="8" borderId="0" xfId="0" applyNumberFormat="1" applyFont="1" applyFill="1" applyAlignment="1">
      <alignment horizontal="left" vertical="center" wrapText="1"/>
    </xf>
    <xf numFmtId="0" fontId="34" fillId="0" borderId="0" xfId="1"/>
    <xf numFmtId="0" fontId="35" fillId="4" borderId="0" xfId="0" applyFont="1" applyFill="1" applyAlignment="1">
      <alignment horizontal="left" vertical="center" wrapText="1"/>
    </xf>
    <xf numFmtId="0" fontId="23" fillId="3" borderId="0" xfId="0" applyFont="1" applyFill="1" applyAlignment="1">
      <alignment horizontal="center" vertical="center"/>
    </xf>
    <xf numFmtId="0" fontId="23" fillId="2" borderId="0" xfId="0" applyFont="1" applyFill="1" applyAlignment="1">
      <alignment horizontal="center" vertical="center"/>
    </xf>
    <xf numFmtId="0" fontId="32" fillId="4" borderId="0" xfId="0" applyFont="1" applyFill="1" applyAlignment="1">
      <alignment horizontal="left" vertical="center" wrapText="1"/>
    </xf>
    <xf numFmtId="0" fontId="36" fillId="4" borderId="0" xfId="0" applyFont="1" applyFill="1" applyAlignment="1">
      <alignment horizontal="left" vertical="center" wrapText="1"/>
    </xf>
    <xf numFmtId="0" fontId="10" fillId="2" borderId="0" xfId="0" applyFont="1" applyFill="1" applyAlignment="1">
      <alignment horizontal="center" vertical="center" wrapText="1"/>
    </xf>
    <xf numFmtId="0" fontId="0" fillId="0" borderId="0" xfId="0"/>
    <xf numFmtId="0" fontId="37" fillId="22" borderId="1" xfId="0" applyFont="1" applyFill="1" applyBorder="1" applyAlignment="1">
      <alignment horizontal="left" vertical="top" wrapText="1"/>
    </xf>
    <xf numFmtId="0" fontId="2" fillId="3" borderId="0" xfId="0" applyFont="1" applyFill="1" applyAlignment="1">
      <alignment horizontal="center" vertical="center" wrapText="1"/>
    </xf>
    <xf numFmtId="0" fontId="3" fillId="6" borderId="0" xfId="0" applyFont="1" applyFill="1" applyAlignment="1">
      <alignment horizontal="center" vertical="center" wrapText="1"/>
    </xf>
    <xf numFmtId="0" fontId="8" fillId="2" borderId="0" xfId="0" applyFont="1" applyFill="1" applyAlignment="1">
      <alignment horizontal="center" vertical="center" wrapText="1"/>
    </xf>
    <xf numFmtId="0" fontId="4" fillId="6" borderId="0" xfId="0" applyFont="1" applyFill="1" applyAlignment="1">
      <alignment horizontal="left" vertical="center" wrapText="1"/>
    </xf>
    <xf numFmtId="0" fontId="3" fillId="3" borderId="0" xfId="0" applyFont="1" applyFill="1" applyAlignment="1">
      <alignment horizontal="center" vertical="center" wrapText="1"/>
    </xf>
    <xf numFmtId="14" fontId="1" fillId="2" borderId="0" xfId="0" applyNumberFormat="1" applyFont="1" applyFill="1" applyAlignment="1">
      <alignment horizontal="center" vertical="center" wrapText="1"/>
    </xf>
    <xf numFmtId="0" fontId="4" fillId="3" borderId="0" xfId="0" applyFont="1" applyFill="1" applyAlignment="1">
      <alignment horizontal="left" vertical="center" wrapText="1"/>
    </xf>
    <xf numFmtId="0" fontId="9" fillId="7" borderId="0" xfId="0" applyFont="1" applyFill="1" applyAlignment="1">
      <alignment horizontal="center" vertical="center" wrapText="1"/>
    </xf>
    <xf numFmtId="0" fontId="1" fillId="2" borderId="0" xfId="0" applyFont="1" applyFill="1" applyAlignment="1">
      <alignment horizontal="center" vertical="center" wrapText="1"/>
    </xf>
    <xf numFmtId="0" fontId="13" fillId="12" borderId="0" xfId="0" applyFont="1" applyFill="1" applyAlignment="1">
      <alignment horizontal="center" vertical="center" wrapText="1"/>
    </xf>
    <xf numFmtId="14" fontId="10" fillId="6" borderId="0" xfId="0" applyNumberFormat="1" applyFont="1" applyFill="1" applyAlignment="1">
      <alignment horizontal="center" vertical="center" wrapText="1"/>
    </xf>
    <xf numFmtId="0" fontId="10" fillId="6" borderId="0" xfId="0" applyFont="1" applyFill="1" applyAlignment="1">
      <alignment horizontal="center" vertical="center" wrapText="1"/>
    </xf>
    <xf numFmtId="0" fontId="33" fillId="3" borderId="0" xfId="0" applyFont="1" applyFill="1" applyAlignment="1">
      <alignment horizontal="center" vertical="center" wrapText="1"/>
    </xf>
    <xf numFmtId="0" fontId="10" fillId="8" borderId="0" xfId="0" applyFont="1" applyFill="1" applyAlignment="1">
      <alignment horizontal="center" vertical="center" wrapText="1"/>
    </xf>
    <xf numFmtId="0" fontId="3" fillId="8" borderId="0" xfId="0" applyFont="1" applyFill="1" applyAlignment="1">
      <alignment horizontal="left" vertical="center" wrapText="1"/>
    </xf>
    <xf numFmtId="14" fontId="10" fillId="8" borderId="0" xfId="0" applyNumberFormat="1" applyFont="1" applyFill="1" applyAlignment="1">
      <alignment horizontal="center" vertical="center" wrapText="1"/>
    </xf>
    <xf numFmtId="0" fontId="10" fillId="9" borderId="0" xfId="0" applyFont="1" applyFill="1" applyAlignment="1">
      <alignment horizontal="center" vertical="center" wrapText="1"/>
    </xf>
    <xf numFmtId="14" fontId="10" fillId="9" borderId="0" xfId="0" applyNumberFormat="1" applyFont="1" applyFill="1" applyAlignment="1">
      <alignment horizontal="center" vertical="center" wrapText="1"/>
    </xf>
    <xf numFmtId="0" fontId="3" fillId="9" borderId="0" xfId="0" applyFont="1" applyFill="1" applyAlignment="1">
      <alignment horizontal="center" vertical="center" wrapText="1"/>
    </xf>
    <xf numFmtId="14" fontId="10" fillId="10" borderId="0" xfId="0" applyNumberFormat="1" applyFont="1" applyFill="1" applyAlignment="1">
      <alignment horizontal="center" vertical="center" wrapText="1"/>
    </xf>
    <xf numFmtId="0" fontId="10" fillId="10" borderId="0" xfId="0" applyFont="1" applyFill="1" applyAlignment="1">
      <alignment horizontal="center" vertical="center" wrapText="1"/>
    </xf>
    <xf numFmtId="0" fontId="3" fillId="10" borderId="0" xfId="0" applyFont="1" applyFill="1" applyAlignment="1">
      <alignment horizontal="center" vertical="center" wrapText="1"/>
    </xf>
    <xf numFmtId="14" fontId="10" fillId="11" borderId="0" xfId="0" applyNumberFormat="1" applyFont="1" applyFill="1" applyAlignment="1">
      <alignment horizontal="center" vertical="center" wrapText="1"/>
    </xf>
    <xf numFmtId="0" fontId="10" fillId="11" borderId="0" xfId="0" applyFont="1" applyFill="1" applyAlignment="1">
      <alignment horizontal="center" vertical="center" wrapText="1"/>
    </xf>
    <xf numFmtId="0" fontId="3" fillId="11" borderId="0" xfId="0" applyFont="1" applyFill="1" applyAlignment="1">
      <alignment horizontal="center" vertical="center" wrapText="1"/>
    </xf>
    <xf numFmtId="14" fontId="10" fillId="2" borderId="0" xfId="0" applyNumberFormat="1" applyFont="1" applyFill="1" applyAlignment="1">
      <alignment horizontal="center" vertical="center" wrapText="1"/>
    </xf>
    <xf numFmtId="0" fontId="16" fillId="21" borderId="0" xfId="0" applyFont="1" applyFill="1" applyAlignment="1">
      <alignment horizontal="center" vertical="center" wrapText="1"/>
    </xf>
    <xf numFmtId="0" fontId="18" fillId="21"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6B1E1E"/>
      <rgbColor rgb="FF005C00"/>
      <rgbColor rgb="FF1A2744"/>
      <rgbColor rgb="FF808000"/>
      <rgbColor rgb="FF800080"/>
      <rgbColor rgb="FF1A5276"/>
      <rgbColor rgb="FFAACCCC"/>
      <rgbColor rgb="FF808080"/>
      <rgbColor rgb="FF88AACC"/>
      <rgbColor rgb="FF444444"/>
      <rgbColor rgb="FFFFFFCC"/>
      <rgbColor rgb="FFEBF0F7"/>
      <rgbColor rgb="FF3A1A1A"/>
      <rgbColor rgb="FFFF8888"/>
      <rgbColor rgb="FF0B4FD4"/>
      <rgbColor rgb="FFCCCCFF"/>
      <rgbColor rgb="FF1E3D6B"/>
      <rgbColor rgb="FFFF00FF"/>
      <rgbColor rgb="FFFFFF00"/>
      <rgbColor rgb="FF00FFFF"/>
      <rgbColor rgb="FF800080"/>
      <rgbColor rgb="FF800000"/>
      <rgbColor rgb="FF1B4F72"/>
      <rgbColor rgb="FF0000FF"/>
      <rgbColor rgb="FF00CCFF"/>
      <rgbColor rgb="FF88FF88"/>
      <rgbColor rgb="FF88FFBB"/>
      <rgbColor rgb="FFFFFF99"/>
      <rgbColor rgb="FF99BBFF"/>
      <rgbColor rgb="FFFFAAAA"/>
      <rgbColor rgb="FFCC99FF"/>
      <rgbColor rgb="FFFFCC99"/>
      <rgbColor rgb="FF2C3E6B"/>
      <rgbColor rgb="FF33CCCC"/>
      <rgbColor rgb="FF99CC00"/>
      <rgbColor rgb="FFFFCC00"/>
      <rgbColor rgb="FFFF9900"/>
      <rgbColor rgb="FFFF6600"/>
      <rgbColor rgb="FF555555"/>
      <rgbColor rgb="FF969696"/>
      <rgbColor rgb="FF1A3050"/>
      <rgbColor rgb="FF1B4D3A"/>
      <rgbColor rgb="FF0D3B2E"/>
      <rgbColor rgb="FF1A3A1A"/>
      <rgbColor rgb="FF993300"/>
      <rgbColor rgb="FF154360"/>
      <rgbColor rgb="FF2E4482"/>
      <rgbColor rgb="FF2A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7.xml.rels><?xml version="1.0" encoding="UTF-8" standalone="yes"?>
<Relationships xmlns="http://schemas.openxmlformats.org/package/2006/relationships"><Relationship Id="rId2" Type="http://schemas.openxmlformats.org/officeDocument/2006/relationships/hyperlink" Target="https://coinmarketcap.com/" TargetMode="External"/><Relationship Id="rId1" Type="http://schemas.openxmlformats.org/officeDocument/2006/relationships/hyperlink" Target="https://coinmarketcap.com/currencies/bitco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showGridLines="0" zoomScale="130" zoomScaleNormal="130" workbookViewId="0">
      <pane ySplit="4" topLeftCell="A5" activePane="bottomLeft" state="frozen"/>
      <selection pane="bottomLeft" activeCell="H11" sqref="H11"/>
    </sheetView>
  </sheetViews>
  <sheetFormatPr defaultColWidth="8.7109375" defaultRowHeight="15" x14ac:dyDescent="0.25"/>
  <cols>
    <col min="1" max="1" width="28.140625" customWidth="1"/>
    <col min="2" max="2" width="11" customWidth="1"/>
    <col min="3" max="3" width="13" customWidth="1"/>
    <col min="4" max="4" width="14" customWidth="1"/>
    <col min="5" max="5" width="10.7109375" customWidth="1"/>
    <col min="6" max="6" width="12" customWidth="1"/>
    <col min="7" max="8" width="9" customWidth="1"/>
    <col min="9" max="9" width="11" customWidth="1"/>
    <col min="10" max="10" width="9" customWidth="1"/>
    <col min="11" max="11" width="10.85546875" customWidth="1"/>
    <col min="12" max="12" width="14" customWidth="1"/>
    <col min="13" max="13" width="15" customWidth="1"/>
    <col min="14" max="14" width="38" customWidth="1"/>
  </cols>
  <sheetData>
    <row r="1" spans="1:14" ht="37.5" customHeight="1" x14ac:dyDescent="0.25">
      <c r="A1" s="142" t="s">
        <v>168</v>
      </c>
      <c r="B1" s="132"/>
      <c r="C1" s="132"/>
      <c r="D1" s="132"/>
      <c r="E1" s="132"/>
      <c r="F1" s="132"/>
      <c r="G1" s="132"/>
      <c r="H1" s="132"/>
      <c r="I1" s="132"/>
      <c r="J1" s="132"/>
      <c r="K1" s="132"/>
      <c r="L1" s="132"/>
      <c r="M1" s="132"/>
      <c r="N1" s="132"/>
    </row>
    <row r="2" spans="1:14" ht="27.75" customHeight="1" x14ac:dyDescent="0.25">
      <c r="A2" s="139">
        <v>46132</v>
      </c>
      <c r="B2" s="132"/>
      <c r="C2" s="132"/>
      <c r="D2" s="132"/>
      <c r="E2" s="132"/>
      <c r="F2" s="132"/>
      <c r="G2" s="132"/>
      <c r="H2" s="132"/>
      <c r="I2" s="132"/>
      <c r="J2" s="132"/>
      <c r="K2" s="132"/>
      <c r="L2" s="132"/>
      <c r="M2" s="132"/>
      <c r="N2" s="132"/>
    </row>
    <row r="3" spans="1:14" ht="18" customHeight="1" x14ac:dyDescent="0.25">
      <c r="A3" s="134" t="s">
        <v>169</v>
      </c>
      <c r="B3" s="132"/>
      <c r="C3" s="132"/>
      <c r="D3" s="132"/>
      <c r="E3" s="132"/>
      <c r="F3" s="132"/>
      <c r="G3" s="132"/>
      <c r="H3" s="132"/>
      <c r="I3" s="132"/>
      <c r="J3" s="132"/>
      <c r="K3" s="132"/>
      <c r="L3" s="132"/>
      <c r="M3" s="132"/>
      <c r="N3" s="132"/>
    </row>
    <row r="4" spans="1:14" ht="30" customHeight="1" x14ac:dyDescent="0.25">
      <c r="A4" s="3" t="s">
        <v>57</v>
      </c>
      <c r="B4" s="3" t="s">
        <v>58</v>
      </c>
      <c r="C4" s="3" t="s">
        <v>59</v>
      </c>
      <c r="D4" s="3" t="s">
        <v>60</v>
      </c>
      <c r="E4" s="74" t="s">
        <v>61</v>
      </c>
      <c r="F4" s="3" t="s">
        <v>62</v>
      </c>
      <c r="G4" s="3" t="s">
        <v>63</v>
      </c>
      <c r="H4" s="3" t="s">
        <v>64</v>
      </c>
      <c r="I4" s="3" t="s">
        <v>65</v>
      </c>
      <c r="J4" s="3" t="s">
        <v>66</v>
      </c>
      <c r="K4" s="74" t="s">
        <v>67</v>
      </c>
      <c r="L4" s="3" t="s">
        <v>68</v>
      </c>
      <c r="M4" s="3" t="s">
        <v>69</v>
      </c>
      <c r="N4" s="74" t="s">
        <v>70</v>
      </c>
    </row>
    <row r="5" spans="1:14" ht="21.75" customHeight="1" x14ac:dyDescent="0.25">
      <c r="A5" s="140" t="s">
        <v>71</v>
      </c>
      <c r="B5" s="132"/>
      <c r="C5" s="132"/>
      <c r="D5" s="132"/>
      <c r="E5" s="132"/>
      <c r="F5" s="132"/>
      <c r="G5" s="132"/>
      <c r="H5" s="132"/>
      <c r="I5" s="132"/>
      <c r="J5" s="132"/>
      <c r="K5" s="132"/>
      <c r="L5" s="132"/>
      <c r="M5" s="132"/>
      <c r="N5" s="132"/>
    </row>
    <row r="6" spans="1:14" ht="18" customHeight="1" x14ac:dyDescent="0.25">
      <c r="A6" s="4" t="s">
        <v>72</v>
      </c>
      <c r="B6" s="5">
        <f>AURUM!B5</f>
        <v>46068</v>
      </c>
      <c r="C6" s="6">
        <f>AURUM!C18</f>
        <v>5908.11</v>
      </c>
      <c r="D6" s="6">
        <f>AURUM!E18</f>
        <v>8491.6699999999983</v>
      </c>
      <c r="E6" s="6"/>
      <c r="F6" s="6">
        <f>AURUM!G18</f>
        <v>3393.4634410776907</v>
      </c>
      <c r="G6" s="7">
        <f>AURUM!H18</f>
        <v>0.57437377453664384</v>
      </c>
      <c r="H6" s="8">
        <f ca="1">AURUM!I18</f>
        <v>64</v>
      </c>
      <c r="I6" s="6">
        <f ca="1">AURUM!J18</f>
        <v>92.458052253390989</v>
      </c>
      <c r="J6" s="7">
        <f ca="1">AURUM!K18</f>
        <v>1.56493450957059E-2</v>
      </c>
      <c r="K6" s="77">
        <f ca="1">AURUM!M18</f>
        <v>96.331818181818178</v>
      </c>
      <c r="L6" s="6">
        <f>AURUM!L18</f>
        <v>1793.14</v>
      </c>
      <c r="M6" s="6">
        <f>AURUM!N18</f>
        <v>100</v>
      </c>
      <c r="N6" s="75">
        <f>-M6</f>
        <v>-100</v>
      </c>
    </row>
    <row r="7" spans="1:14" ht="18" customHeight="1" x14ac:dyDescent="0.25">
      <c r="A7" s="9" t="s">
        <v>23</v>
      </c>
      <c r="B7" s="10">
        <f>DSJ!B5</f>
        <v>46096</v>
      </c>
      <c r="C7" s="11">
        <f>DSJ!C6</f>
        <v>5000</v>
      </c>
      <c r="D7" s="11">
        <f>DSJ!D6</f>
        <v>9018.19</v>
      </c>
      <c r="E7" s="11"/>
      <c r="F7" s="11">
        <f>DSJ!E6</f>
        <v>4018.1900000000005</v>
      </c>
      <c r="G7" s="12">
        <f>DSJ!F6</f>
        <v>0.80363800000000007</v>
      </c>
      <c r="H7" s="13">
        <f ca="1">DSJ!G6</f>
        <v>36</v>
      </c>
      <c r="I7" s="11">
        <f ca="1">DSJ!H6</f>
        <v>111.61638888888891</v>
      </c>
      <c r="J7" s="12">
        <f ca="1">DSJ!I6</f>
        <v>2.2323277777777782E-2</v>
      </c>
      <c r="K7" s="78">
        <f>DSJ!J6</f>
        <v>111</v>
      </c>
      <c r="L7" s="11">
        <f>DSJ!K6</f>
        <v>0</v>
      </c>
      <c r="M7" s="11">
        <f>DSJ!L6</f>
        <v>0</v>
      </c>
      <c r="N7" s="76">
        <f>-M7</f>
        <v>0</v>
      </c>
    </row>
    <row r="8" spans="1:14" ht="18" customHeight="1" x14ac:dyDescent="0.25">
      <c r="A8" s="4" t="s">
        <v>73</v>
      </c>
      <c r="B8" s="5">
        <f>MEGAPRO!B5</f>
        <v>46103</v>
      </c>
      <c r="C8" s="6">
        <f>MEGAPRO!C6</f>
        <v>4918</v>
      </c>
      <c r="D8" s="6">
        <f>MEGAPRO!D6</f>
        <v>6868</v>
      </c>
      <c r="E8" s="6"/>
      <c r="F8" s="6">
        <f>MEGAPRO!E6</f>
        <v>1950</v>
      </c>
      <c r="G8" s="7">
        <f>MEGAPRO!H6</f>
        <v>0.43310288735258234</v>
      </c>
      <c r="H8" s="8">
        <f ca="1">MEGAPRO!I6</f>
        <v>29</v>
      </c>
      <c r="I8" s="6">
        <f ca="1">MEGAPRO!J6</f>
        <v>73.448275862068968</v>
      </c>
      <c r="J8" s="7">
        <f ca="1">MEGAPRO!K6</f>
        <v>1.493458232250284E-2</v>
      </c>
      <c r="K8" s="79">
        <f>MEGAPRO!L6</f>
        <v>206</v>
      </c>
      <c r="L8" s="6">
        <f>MEGAPRO!M6</f>
        <v>0</v>
      </c>
      <c r="M8" s="6">
        <f>MEGAPRO!N6</f>
        <v>180</v>
      </c>
      <c r="N8" s="75">
        <f>-M8</f>
        <v>-180</v>
      </c>
    </row>
    <row r="9" spans="1:14" ht="18" customHeight="1" x14ac:dyDescent="0.25">
      <c r="A9" s="9" t="s">
        <v>74</v>
      </c>
      <c r="B9" s="10">
        <f>QUANTRO!B5</f>
        <v>46099</v>
      </c>
      <c r="C9" s="11">
        <f>QUANTRO!C6</f>
        <v>2525</v>
      </c>
      <c r="D9" s="11">
        <f>QUANTRO!E6</f>
        <v>4467</v>
      </c>
      <c r="E9" s="11"/>
      <c r="F9" s="11">
        <f>QUANTRO!F6</f>
        <v>1941.75</v>
      </c>
      <c r="G9" s="12">
        <f>QUANTRO!H6</f>
        <v>0.76900990099009903</v>
      </c>
      <c r="H9" s="13">
        <f ca="1">QUANTRO!I6</f>
        <v>33</v>
      </c>
      <c r="I9" s="11">
        <f ca="1">QUANTRO!J6</f>
        <v>58.840909090909093</v>
      </c>
      <c r="J9" s="12">
        <f ca="1">QUANTRO!K6</f>
        <v>2.3303330333033303E-2</v>
      </c>
      <c r="K9" s="78">
        <f>QUANTRO!L6</f>
        <v>78.17</v>
      </c>
      <c r="L9" s="11">
        <f>QUANTRO!M6</f>
        <v>0</v>
      </c>
      <c r="M9" s="11">
        <f>QUANTRO!N6</f>
        <v>45</v>
      </c>
      <c r="N9" s="76">
        <f>-M9</f>
        <v>-45</v>
      </c>
    </row>
    <row r="10" spans="1:14" ht="18" customHeight="1" x14ac:dyDescent="0.25">
      <c r="A10" s="93" t="s">
        <v>75</v>
      </c>
      <c r="B10" s="88"/>
      <c r="C10" s="89"/>
      <c r="D10" s="89"/>
      <c r="E10" s="89"/>
      <c r="F10" s="89"/>
      <c r="G10" s="90"/>
      <c r="H10" s="91"/>
      <c r="I10" s="89"/>
      <c r="J10" s="90"/>
      <c r="K10" s="92"/>
      <c r="L10" s="89"/>
      <c r="M10" s="89">
        <f>SUM(M6:M9)</f>
        <v>325</v>
      </c>
      <c r="N10" s="75">
        <f>SUM(N6:N9)</f>
        <v>-325</v>
      </c>
    </row>
    <row r="11" spans="1:14" ht="19.5" customHeight="1" x14ac:dyDescent="0.25">
      <c r="A11" s="138" t="s">
        <v>76</v>
      </c>
      <c r="B11" s="132"/>
      <c r="C11" s="14">
        <f>SUM(C6:C9)</f>
        <v>18351.11</v>
      </c>
      <c r="D11" s="14">
        <f>SUM(D6:D9)</f>
        <v>28844.86</v>
      </c>
      <c r="E11" s="14"/>
      <c r="F11" s="14">
        <f>SUM(F6:F9)</f>
        <v>11303.403441077691</v>
      </c>
      <c r="G11" s="15">
        <f>IFERROR(F11/C11,"")</f>
        <v>0.61595202911854874</v>
      </c>
      <c r="H11" s="127">
        <v>64</v>
      </c>
      <c r="I11" s="14">
        <f ca="1">SUM(I6:I9)</f>
        <v>336.36362609525793</v>
      </c>
      <c r="J11" s="15">
        <f ca="1">IFERROR(I11/C11,"")</f>
        <v>1.8329334089069158E-2</v>
      </c>
      <c r="K11" s="86">
        <f ca="1">SUM(K6:K9)</f>
        <v>491.50181818181818</v>
      </c>
      <c r="L11" s="14">
        <f>SUM(L6:L9)</f>
        <v>1793.14</v>
      </c>
      <c r="M11" s="14">
        <f>SUM(M6:M9)</f>
        <v>325</v>
      </c>
      <c r="N11" s="14">
        <f>C11*1.5</f>
        <v>27526.665000000001</v>
      </c>
    </row>
    <row r="12" spans="1:14" ht="21.75" customHeight="1" x14ac:dyDescent="0.25">
      <c r="A12" s="137" t="s">
        <v>77</v>
      </c>
      <c r="B12" s="132"/>
      <c r="C12" s="132"/>
      <c r="D12" s="132"/>
      <c r="E12" s="132"/>
      <c r="F12" s="132"/>
      <c r="G12" s="132"/>
      <c r="H12" s="132"/>
      <c r="I12" s="132"/>
      <c r="J12" s="132"/>
      <c r="K12" s="132"/>
      <c r="L12" s="132"/>
      <c r="M12" s="132"/>
      <c r="N12" s="132"/>
    </row>
    <row r="13" spans="1:14" ht="15.75" customHeight="1" x14ac:dyDescent="0.25">
      <c r="A13" s="16" t="s">
        <v>78</v>
      </c>
      <c r="B13" s="5">
        <f>ARBCORE!B6</f>
        <v>46091</v>
      </c>
      <c r="C13" s="6">
        <f>ARBCORE!C6</f>
        <v>1042.29</v>
      </c>
      <c r="D13" s="6">
        <f>ARBCORE!I6</f>
        <v>1233.7</v>
      </c>
      <c r="E13" s="6"/>
      <c r="F13" s="6">
        <f>ARBCORE!J6</f>
        <v>435.41000000000008</v>
      </c>
      <c r="G13" s="7">
        <f>ARBCORE!K6</f>
        <v>0.41774362221646577</v>
      </c>
      <c r="H13" s="8">
        <f ca="1">ARBCORE!L6</f>
        <v>41</v>
      </c>
      <c r="I13" s="6">
        <f ca="1">ARBCORE!M6</f>
        <v>10.619756097560977</v>
      </c>
      <c r="J13" s="7">
        <f ca="1">ARBCORE!N6</f>
        <v>1.0188868834547945E-2</v>
      </c>
      <c r="K13" s="79">
        <f>ARBCORE!O6</f>
        <v>13</v>
      </c>
      <c r="L13" s="6">
        <f>ARBCORE!P6</f>
        <v>0</v>
      </c>
      <c r="M13" s="6">
        <f>ARBCORE!Q6</f>
        <v>244</v>
      </c>
      <c r="N13" s="75">
        <f t="shared" ref="N13:N18" si="0">-M13</f>
        <v>-244</v>
      </c>
    </row>
    <row r="14" spans="1:14" ht="15.75" customHeight="1" x14ac:dyDescent="0.25">
      <c r="A14" s="17" t="s">
        <v>79</v>
      </c>
      <c r="B14" s="10">
        <f>ARBCORE!B7</f>
        <v>46114</v>
      </c>
      <c r="C14" s="11">
        <f>ARBCORE!C7</f>
        <v>2245</v>
      </c>
      <c r="D14" s="11">
        <f>ARBCORE!I7</f>
        <v>3796.8573000000001</v>
      </c>
      <c r="E14" s="99">
        <f>ARBCORE!F7</f>
        <v>1.6631</v>
      </c>
      <c r="F14" s="11">
        <f>ARBCORE!J7</f>
        <v>1551.8573000000001</v>
      </c>
      <c r="G14" s="12">
        <f>ARBCORE!K7</f>
        <v>0.69125046770601339</v>
      </c>
      <c r="H14" s="13">
        <f ca="1">ARBCORE!L7</f>
        <v>18</v>
      </c>
      <c r="I14" s="11">
        <f ca="1">ARBCORE!M7</f>
        <v>86.214294444444448</v>
      </c>
      <c r="J14" s="12">
        <f ca="1">ARBCORE!N7</f>
        <v>3.8402803761445191E-2</v>
      </c>
      <c r="K14" s="78">
        <f ca="1">ARBCORE!O7</f>
        <v>86.214294444444448</v>
      </c>
      <c r="L14" s="11">
        <f>ARBCORE!P7</f>
        <v>0</v>
      </c>
      <c r="M14" s="11">
        <f>ARBCORE!Q7</f>
        <v>0</v>
      </c>
      <c r="N14" s="76">
        <f t="shared" si="0"/>
        <v>0</v>
      </c>
    </row>
    <row r="15" spans="1:14" ht="15.75" customHeight="1" x14ac:dyDescent="0.25">
      <c r="A15" s="16" t="s">
        <v>80</v>
      </c>
      <c r="B15" s="5">
        <f>ARBCORE!B9</f>
        <v>46113</v>
      </c>
      <c r="C15" s="6">
        <f>ARBCORE!C9</f>
        <v>1987</v>
      </c>
      <c r="D15" s="6">
        <f>ARBCORE!I9</f>
        <v>2979.5474060000001</v>
      </c>
      <c r="E15" s="100">
        <f>ARBCORE!F9</f>
        <v>35.223399999999998</v>
      </c>
      <c r="F15" s="6">
        <f>ARBCORE!J9</f>
        <v>992.54740600000014</v>
      </c>
      <c r="G15" s="7">
        <f>ARBCORE!K9</f>
        <v>0.49952058681429296</v>
      </c>
      <c r="H15" s="8">
        <f ca="1">ARBCORE!L9</f>
        <v>19</v>
      </c>
      <c r="I15" s="6">
        <f ca="1">ARBCORE!M9</f>
        <v>52.239337157894745</v>
      </c>
      <c r="J15" s="7">
        <f ca="1">ARBCORE!N9</f>
        <v>2.6290557200752261E-2</v>
      </c>
      <c r="K15" s="79">
        <f ca="1">ARBCORE!O9</f>
        <v>52.239337157894745</v>
      </c>
      <c r="L15" s="6">
        <f>ARBCORE!P9</f>
        <v>0</v>
      </c>
      <c r="M15" s="6">
        <f>ARBCORE!Q9</f>
        <v>0</v>
      </c>
      <c r="N15" s="75">
        <f t="shared" si="0"/>
        <v>0</v>
      </c>
    </row>
    <row r="16" spans="1:14" ht="15.75" customHeight="1" x14ac:dyDescent="0.25">
      <c r="A16" s="17" t="s">
        <v>81</v>
      </c>
      <c r="B16" s="10">
        <f>ARBCORE!B10</f>
        <v>46122</v>
      </c>
      <c r="C16" s="11">
        <f>ARBCORE!C10</f>
        <v>6900</v>
      </c>
      <c r="D16" s="11">
        <f>ARBCORE!I10</f>
        <v>9272.634</v>
      </c>
      <c r="E16" s="67">
        <f>ARBCORE!F10</f>
        <v>6623.31</v>
      </c>
      <c r="F16" s="11">
        <f>ARBCORE!J10</f>
        <v>2372.634</v>
      </c>
      <c r="G16" s="12">
        <f>ARBCORE!K10</f>
        <v>0.34386</v>
      </c>
      <c r="H16" s="13">
        <f ca="1">ARBCORE!L10</f>
        <v>10</v>
      </c>
      <c r="I16" s="11">
        <f ca="1">ARBCORE!M10</f>
        <v>237.26339999999999</v>
      </c>
      <c r="J16" s="12">
        <f ca="1">ARBCORE!N10</f>
        <v>3.4386E-2</v>
      </c>
      <c r="K16" s="78">
        <f>ARBCORE!O10</f>
        <v>256.2</v>
      </c>
      <c r="L16" s="11">
        <f>ARBCORE!P10</f>
        <v>0</v>
      </c>
      <c r="M16" s="11">
        <f>ARBCORE!Q10</f>
        <v>0</v>
      </c>
      <c r="N16" s="76">
        <f t="shared" si="0"/>
        <v>0</v>
      </c>
    </row>
    <row r="17" spans="1:14" ht="15.75" customHeight="1" x14ac:dyDescent="0.25">
      <c r="A17" s="16" t="s">
        <v>82</v>
      </c>
      <c r="B17" s="5">
        <f>ARBCORE!B8</f>
        <v>46129</v>
      </c>
      <c r="C17" s="6">
        <f>ARBCORE!C8</f>
        <v>4116.3500000000004</v>
      </c>
      <c r="D17" s="6">
        <f>ARBCORE!I8</f>
        <v>6228.3369599999996</v>
      </c>
      <c r="E17" s="101">
        <f>ARBCORE!F8</f>
        <v>8.3519999999999997E-2</v>
      </c>
      <c r="F17" s="6">
        <f>ARBCORE!J8</f>
        <v>297.39712399999991</v>
      </c>
      <c r="G17" s="7">
        <f>ARBCORE!K8</f>
        <v>7.2247773877342769E-2</v>
      </c>
      <c r="H17" s="8">
        <f ca="1">ARBCORE!L8</f>
        <v>3</v>
      </c>
      <c r="I17" s="6">
        <f ca="1">ARBCORE!M8</f>
        <v>99.132374666666635</v>
      </c>
      <c r="J17" s="7">
        <f ca="1">ARBCORE!N8</f>
        <v>2.4082591292447587E-2</v>
      </c>
      <c r="K17" s="79"/>
      <c r="L17" s="6">
        <f>ARBCORE!P8</f>
        <v>0</v>
      </c>
      <c r="M17" s="6">
        <f>ARBCORE!Q8</f>
        <v>0</v>
      </c>
      <c r="N17" s="75">
        <f t="shared" si="0"/>
        <v>0</v>
      </c>
    </row>
    <row r="18" spans="1:14" ht="15.75" customHeight="1" x14ac:dyDescent="0.25">
      <c r="A18" s="17" t="s">
        <v>83</v>
      </c>
      <c r="B18" s="10">
        <f>ARBCORE!B11</f>
        <v>46122</v>
      </c>
      <c r="C18" s="11">
        <f>ARBCORE!C11</f>
        <v>0</v>
      </c>
      <c r="D18" s="11">
        <f>ARBCORE!I11</f>
        <v>82.223200000000006</v>
      </c>
      <c r="E18" s="11"/>
      <c r="F18" s="11">
        <f>ARBCORE!J11</f>
        <v>3878.3</v>
      </c>
      <c r="G18" s="113" t="s">
        <v>84</v>
      </c>
      <c r="H18" s="13">
        <f ca="1">ARBCORE!L11</f>
        <v>10</v>
      </c>
      <c r="I18" s="11"/>
      <c r="J18" s="12" t="str">
        <f ca="1">ARBCORE!N11</f>
        <v/>
      </c>
      <c r="K18" s="78"/>
      <c r="L18" s="11">
        <f>ARBCORE!P11</f>
        <v>2946.0768000000003</v>
      </c>
      <c r="M18" s="11">
        <f>ARBCORE!Q11</f>
        <v>850</v>
      </c>
      <c r="N18" s="76">
        <f t="shared" si="0"/>
        <v>-850</v>
      </c>
    </row>
    <row r="19" spans="1:14" ht="18" customHeight="1" x14ac:dyDescent="0.25">
      <c r="A19" s="93" t="s">
        <v>75</v>
      </c>
      <c r="B19" s="88"/>
      <c r="C19" s="89"/>
      <c r="D19" s="89"/>
      <c r="E19" s="89"/>
      <c r="F19" s="89"/>
      <c r="G19" s="90"/>
      <c r="H19" s="91"/>
      <c r="I19" s="89"/>
      <c r="J19" s="90"/>
      <c r="K19" s="92"/>
      <c r="L19" s="89">
        <f>SUM(L13:L18)</f>
        <v>2946.0768000000003</v>
      </c>
      <c r="M19" s="89">
        <f>SUM(M13:M18)</f>
        <v>1094</v>
      </c>
      <c r="N19" s="75">
        <f>SUM(N13:N18)</f>
        <v>-1094</v>
      </c>
    </row>
    <row r="20" spans="1:14" ht="19.5" customHeight="1" x14ac:dyDescent="0.25">
      <c r="A20" s="135" t="s">
        <v>85</v>
      </c>
      <c r="B20" s="132"/>
      <c r="C20" s="18">
        <f>SUM(C13:C18)</f>
        <v>16290.640000000001</v>
      </c>
      <c r="D20" s="18">
        <f>SUM(D13:D18)</f>
        <v>23593.298866000001</v>
      </c>
      <c r="E20" s="18"/>
      <c r="F20" s="18">
        <f>SUM(F13:F18)</f>
        <v>9528.1458300000013</v>
      </c>
      <c r="G20" s="19">
        <f>IFERROR(F20/C20,"")</f>
        <v>0.58488468408853189</v>
      </c>
      <c r="H20" s="73">
        <v>20</v>
      </c>
      <c r="I20" s="18">
        <f ca="1">SUM(I13:I18)</f>
        <v>485.46916236656676</v>
      </c>
      <c r="J20" s="19">
        <f ca="1">IFERROR(I20/C20,"")</f>
        <v>2.9800496626686657E-2</v>
      </c>
      <c r="K20" s="82">
        <f ca="1">SUM(K13:K18)</f>
        <v>407.65363160233915</v>
      </c>
      <c r="L20" s="18">
        <f>SUM(L13:L18)</f>
        <v>2946.0768000000003</v>
      </c>
      <c r="M20" s="18">
        <f>SUM(M13:M18)</f>
        <v>1094</v>
      </c>
      <c r="N20" s="18">
        <f>C20*1.5</f>
        <v>24435.960000000003</v>
      </c>
    </row>
    <row r="21" spans="1:14" ht="25.5" customHeight="1" x14ac:dyDescent="0.25">
      <c r="A21" s="136" t="s">
        <v>86</v>
      </c>
      <c r="B21" s="132"/>
      <c r="C21" s="20">
        <f>C11+C20</f>
        <v>34641.75</v>
      </c>
      <c r="D21" s="20">
        <f>D11+D20</f>
        <v>52438.158865999998</v>
      </c>
      <c r="E21" s="20"/>
      <c r="F21" s="20">
        <f>F11+F20</f>
        <v>20831.549271077693</v>
      </c>
      <c r="G21" s="21">
        <f>IFERROR(F21/C21,"")</f>
        <v>0.60134228989810534</v>
      </c>
      <c r="H21" s="128">
        <f>H11</f>
        <v>64</v>
      </c>
      <c r="I21" s="20">
        <f ca="1">I11+I20</f>
        <v>821.83278846182475</v>
      </c>
      <c r="J21" s="21">
        <f ca="1">IFERROR(I21/C21,"")</f>
        <v>2.3723766508961724E-2</v>
      </c>
      <c r="K21" s="87">
        <f ca="1">K20+K11</f>
        <v>899.15544978415733</v>
      </c>
      <c r="L21" s="20">
        <f>L11+L20</f>
        <v>4739.2168000000001</v>
      </c>
      <c r="M21" s="20">
        <f>M11+M20</f>
        <v>1419</v>
      </c>
      <c r="N21" s="20">
        <f>N20+N11</f>
        <v>51962.625</v>
      </c>
    </row>
    <row r="22" spans="1:14" ht="25.5" customHeight="1" x14ac:dyDescent="0.25">
      <c r="A22" s="94" t="s">
        <v>87</v>
      </c>
      <c r="B22" s="1"/>
      <c r="C22" s="20"/>
      <c r="D22" s="20"/>
      <c r="E22" s="20"/>
      <c r="F22" s="20"/>
      <c r="G22" s="21"/>
      <c r="H22" s="22"/>
      <c r="I22" s="20"/>
      <c r="J22" s="21"/>
      <c r="K22" s="87"/>
      <c r="L22" s="20"/>
      <c r="M22" s="20"/>
      <c r="N22" s="20">
        <f>N21+N19+N10</f>
        <v>50543.625</v>
      </c>
    </row>
    <row r="23" spans="1:14" ht="18" customHeight="1" x14ac:dyDescent="0.25">
      <c r="A23" s="141" t="s">
        <v>88</v>
      </c>
      <c r="B23" s="132"/>
      <c r="C23" s="132"/>
      <c r="D23" s="132"/>
      <c r="E23" s="132"/>
      <c r="F23" s="132"/>
      <c r="G23" s="132"/>
      <c r="H23" s="132"/>
      <c r="I23" s="132"/>
      <c r="J23" s="132"/>
      <c r="K23" s="132"/>
      <c r="L23" s="132"/>
      <c r="M23" s="132"/>
      <c r="N23" s="132"/>
    </row>
    <row r="25" spans="1:14" ht="72" customHeight="1" x14ac:dyDescent="0.25">
      <c r="A25" s="133" t="s">
        <v>56</v>
      </c>
      <c r="B25" s="132"/>
      <c r="C25" s="132"/>
      <c r="D25" s="132"/>
      <c r="E25" s="132"/>
      <c r="F25" s="132"/>
      <c r="G25" s="132"/>
      <c r="H25" s="132"/>
      <c r="I25" s="132"/>
      <c r="J25" s="132"/>
      <c r="K25" s="132"/>
      <c r="L25" s="132"/>
      <c r="M25" s="132"/>
      <c r="N25" s="132"/>
    </row>
  </sheetData>
  <mergeCells count="10">
    <mergeCell ref="A2:N2"/>
    <mergeCell ref="A25:N25"/>
    <mergeCell ref="A5:N5"/>
    <mergeCell ref="A23:N23"/>
    <mergeCell ref="A1:N1"/>
    <mergeCell ref="A20:B20"/>
    <mergeCell ref="A21:B21"/>
    <mergeCell ref="A3:N3"/>
    <mergeCell ref="A12:N12"/>
    <mergeCell ref="A11:B11"/>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4"/>
  <sheetViews>
    <sheetView showGridLines="0" topLeftCell="B1" zoomScaleNormal="100" workbookViewId="0">
      <pane ySplit="5" topLeftCell="A6" activePane="bottomLeft" state="frozen"/>
      <selection pane="bottomLeft" activeCell="R16" sqref="R16"/>
    </sheetView>
  </sheetViews>
  <sheetFormatPr defaultColWidth="8.7109375" defaultRowHeight="15" x14ac:dyDescent="0.25"/>
  <cols>
    <col min="1" max="1" width="22" customWidth="1"/>
    <col min="2" max="2" width="11" customWidth="1"/>
    <col min="3" max="3" width="13" customWidth="1"/>
    <col min="4" max="4" width="14.28515625" customWidth="1"/>
    <col min="5" max="5" width="11" customWidth="1"/>
    <col min="6" max="6" width="14" customWidth="1"/>
    <col min="7" max="7" width="11" customWidth="1"/>
    <col min="8" max="8" width="13" customWidth="1"/>
    <col min="9" max="9" width="14" customWidth="1"/>
    <col min="10" max="10" width="13" customWidth="1"/>
    <col min="11" max="11" width="9" customWidth="1"/>
    <col min="12" max="12" width="10" customWidth="1"/>
    <col min="13" max="13" width="11" customWidth="1"/>
    <col min="14" max="14" width="8.28515625" customWidth="1"/>
    <col min="15" max="15" width="12" customWidth="1"/>
    <col min="16" max="16" width="11.85546875" customWidth="1"/>
    <col min="17" max="17" width="11.5703125" customWidth="1"/>
    <col min="18" max="18" width="63.42578125" customWidth="1"/>
  </cols>
  <sheetData>
    <row r="1" spans="1:18" ht="31.5" customHeight="1" x14ac:dyDescent="0.25">
      <c r="A1" s="145" t="s">
        <v>89</v>
      </c>
      <c r="B1" s="132"/>
      <c r="C1" s="132"/>
      <c r="D1" s="132"/>
      <c r="E1" s="132"/>
      <c r="F1" s="132"/>
      <c r="G1" s="132"/>
      <c r="H1" s="132"/>
      <c r="I1" s="132"/>
      <c r="J1" s="132"/>
      <c r="K1" s="132"/>
      <c r="L1" s="132"/>
      <c r="M1" s="132"/>
      <c r="N1" s="132"/>
      <c r="O1" s="132"/>
      <c r="P1" s="132"/>
      <c r="Q1" s="132"/>
      <c r="R1" s="132"/>
    </row>
    <row r="2" spans="1:18" ht="31.5" customHeight="1" x14ac:dyDescent="0.25">
      <c r="A2" s="144">
        <f>SUMMARY!A2</f>
        <v>46132</v>
      </c>
      <c r="B2" s="132"/>
      <c r="C2" s="132"/>
      <c r="D2" s="132"/>
      <c r="E2" s="132"/>
      <c r="F2" s="132"/>
      <c r="G2" s="132"/>
      <c r="H2" s="132"/>
      <c r="I2" s="132"/>
      <c r="J2" s="132"/>
      <c r="K2" s="132"/>
      <c r="L2" s="132"/>
      <c r="M2" s="132"/>
      <c r="N2" s="132"/>
      <c r="O2" s="132"/>
      <c r="P2" s="132"/>
      <c r="Q2" s="132"/>
      <c r="R2" s="132"/>
    </row>
    <row r="3" spans="1:18" ht="18" customHeight="1" x14ac:dyDescent="0.25">
      <c r="A3" s="134" t="s">
        <v>90</v>
      </c>
      <c r="B3" s="132"/>
      <c r="C3" s="132"/>
      <c r="D3" s="132"/>
      <c r="E3" s="132"/>
      <c r="F3" s="132"/>
      <c r="G3" s="132"/>
      <c r="H3" s="132"/>
      <c r="I3" s="132"/>
      <c r="J3" s="132"/>
      <c r="K3" s="132"/>
      <c r="L3" s="132"/>
      <c r="M3" s="132"/>
      <c r="N3" s="132"/>
      <c r="O3" s="132"/>
      <c r="P3" s="132"/>
      <c r="Q3" s="132"/>
      <c r="R3" s="132"/>
    </row>
    <row r="4" spans="1:18" ht="15.75" customHeight="1" x14ac:dyDescent="0.25">
      <c r="A4" s="143" t="s">
        <v>91</v>
      </c>
      <c r="B4" s="132"/>
      <c r="C4" s="132"/>
      <c r="D4" s="132"/>
      <c r="E4" s="132"/>
      <c r="F4" s="132"/>
      <c r="G4" s="132"/>
      <c r="H4" s="132"/>
      <c r="I4" s="132"/>
      <c r="J4" s="132"/>
      <c r="K4" s="132"/>
      <c r="L4" s="132"/>
      <c r="M4" s="132"/>
      <c r="N4" s="132"/>
      <c r="O4" s="132"/>
      <c r="P4" s="132"/>
      <c r="Q4" s="132"/>
      <c r="R4" s="132"/>
    </row>
    <row r="5" spans="1:18" ht="30" customHeight="1" x14ac:dyDescent="0.25">
      <c r="A5" s="3" t="s">
        <v>6</v>
      </c>
      <c r="B5" s="3" t="s">
        <v>58</v>
      </c>
      <c r="C5" s="3" t="s">
        <v>92</v>
      </c>
      <c r="D5" s="3" t="s">
        <v>93</v>
      </c>
      <c r="E5" s="74" t="s">
        <v>94</v>
      </c>
      <c r="F5" s="3" t="s">
        <v>95</v>
      </c>
      <c r="G5" s="3" t="s">
        <v>96</v>
      </c>
      <c r="H5" s="3" t="s">
        <v>97</v>
      </c>
      <c r="I5" s="3" t="s">
        <v>98</v>
      </c>
      <c r="J5" s="3" t="s">
        <v>62</v>
      </c>
      <c r="K5" s="3" t="s">
        <v>63</v>
      </c>
      <c r="L5" s="3" t="s">
        <v>64</v>
      </c>
      <c r="M5" s="3" t="s">
        <v>65</v>
      </c>
      <c r="N5" s="3" t="s">
        <v>66</v>
      </c>
      <c r="O5" s="74" t="s">
        <v>67</v>
      </c>
      <c r="P5" s="3" t="s">
        <v>68</v>
      </c>
      <c r="Q5" s="3" t="s">
        <v>99</v>
      </c>
      <c r="R5" s="3" t="s">
        <v>100</v>
      </c>
    </row>
    <row r="6" spans="1:18" ht="35.25" customHeight="1" x14ac:dyDescent="0.25">
      <c r="A6" s="4" t="s">
        <v>24</v>
      </c>
      <c r="B6" s="24">
        <v>46091</v>
      </c>
      <c r="C6" s="23">
        <v>1042.29</v>
      </c>
      <c r="D6" s="23">
        <v>1042.29</v>
      </c>
      <c r="E6" s="23"/>
      <c r="F6" s="43">
        <v>1233.7</v>
      </c>
      <c r="G6" s="43">
        <f>F6-C6+Q6</f>
        <v>435.41000000000008</v>
      </c>
      <c r="H6" s="6">
        <f>PRICES!B10</f>
        <v>1</v>
      </c>
      <c r="I6" s="29">
        <f t="shared" ref="I6:I11" si="0">IFERROR(F6*H6,"")</f>
        <v>1233.7</v>
      </c>
      <c r="J6" s="29">
        <f>G6</f>
        <v>435.41000000000008</v>
      </c>
      <c r="K6" s="30">
        <f t="shared" ref="K6:K12" si="1">IFERROR(J6/C6,"")</f>
        <v>0.41774362221646577</v>
      </c>
      <c r="L6" s="31">
        <f t="shared" ref="L6:L11" ca="1" si="2">IF(B6="","",TODAY()-B6)</f>
        <v>41</v>
      </c>
      <c r="M6" s="29">
        <f t="shared" ref="M6:M11" ca="1" si="3">IFERROR(J6/L6,"")</f>
        <v>10.619756097560977</v>
      </c>
      <c r="N6" s="30">
        <f t="shared" ref="N6:N12" ca="1" si="4">IFERROR(M6/C6,"")</f>
        <v>1.0188868834547945E-2</v>
      </c>
      <c r="O6" s="80">
        <v>13</v>
      </c>
      <c r="P6" s="23"/>
      <c r="Q6" s="23">
        <v>244</v>
      </c>
      <c r="R6" s="126" t="s">
        <v>101</v>
      </c>
    </row>
    <row r="7" spans="1:18" ht="33.75" customHeight="1" x14ac:dyDescent="0.25">
      <c r="A7" s="9" t="s">
        <v>39</v>
      </c>
      <c r="B7" s="27">
        <v>46114</v>
      </c>
      <c r="C7" s="26">
        <v>2245</v>
      </c>
      <c r="D7" s="68">
        <v>1.1898</v>
      </c>
      <c r="E7" s="68"/>
      <c r="F7" s="45">
        <v>1.6631</v>
      </c>
      <c r="G7" s="45">
        <f>F7-D7</f>
        <v>0.47330000000000005</v>
      </c>
      <c r="H7" s="11">
        <f>PRICES!B6</f>
        <v>2283</v>
      </c>
      <c r="I7" s="32">
        <f t="shared" si="0"/>
        <v>3796.8573000000001</v>
      </c>
      <c r="J7" s="32">
        <f>IFERROR(I7-C7,"")</f>
        <v>1551.8573000000001</v>
      </c>
      <c r="K7" s="33">
        <f t="shared" si="1"/>
        <v>0.69125046770601339</v>
      </c>
      <c r="L7" s="34">
        <f t="shared" ca="1" si="2"/>
        <v>18</v>
      </c>
      <c r="M7" s="32">
        <f t="shared" ca="1" si="3"/>
        <v>86.214294444444448</v>
      </c>
      <c r="N7" s="33">
        <f t="shared" ca="1" si="4"/>
        <v>3.8402803761445191E-2</v>
      </c>
      <c r="O7" s="81">
        <f ca="1">M7</f>
        <v>86.214294444444448</v>
      </c>
      <c r="P7" s="26"/>
      <c r="Q7" s="26"/>
      <c r="R7" s="46" t="s">
        <v>102</v>
      </c>
    </row>
    <row r="8" spans="1:18" ht="32.25" customHeight="1" x14ac:dyDescent="0.25">
      <c r="A8" s="4" t="s">
        <v>103</v>
      </c>
      <c r="B8" s="24">
        <v>46129</v>
      </c>
      <c r="C8" s="23">
        <v>4116.3500000000004</v>
      </c>
      <c r="D8" s="96">
        <v>5.3287000000000001E-2</v>
      </c>
      <c r="E8" s="96">
        <f>0.006964+0.007682+0.011599</f>
        <v>2.6244999999999997E-2</v>
      </c>
      <c r="F8" s="98">
        <v>8.3519999999999997E-2</v>
      </c>
      <c r="G8" s="97">
        <f>F8-D8-E8</f>
        <v>3.9879999999999985E-3</v>
      </c>
      <c r="H8" s="6">
        <f>PRICES!B5</f>
        <v>74573</v>
      </c>
      <c r="I8" s="29">
        <f t="shared" si="0"/>
        <v>6228.3369599999996</v>
      </c>
      <c r="J8" s="29">
        <f>IFERROR(G8*H8,"")</f>
        <v>297.39712399999991</v>
      </c>
      <c r="K8" s="30">
        <f t="shared" si="1"/>
        <v>7.2247773877342769E-2</v>
      </c>
      <c r="L8" s="31">
        <f t="shared" ca="1" si="2"/>
        <v>3</v>
      </c>
      <c r="M8" s="29">
        <f t="shared" ca="1" si="3"/>
        <v>99.132374666666635</v>
      </c>
      <c r="N8" s="30">
        <f t="shared" ca="1" si="4"/>
        <v>2.4082591292447587E-2</v>
      </c>
      <c r="O8" s="80">
        <f ca="1">M8</f>
        <v>99.132374666666635</v>
      </c>
      <c r="P8" s="23"/>
      <c r="Q8" s="23"/>
      <c r="R8" s="126" t="s">
        <v>104</v>
      </c>
    </row>
    <row r="9" spans="1:18" ht="29.25" customHeight="1" x14ac:dyDescent="0.25">
      <c r="A9" s="4" t="s">
        <v>36</v>
      </c>
      <c r="B9" s="24">
        <v>46113</v>
      </c>
      <c r="C9" s="23">
        <v>1987</v>
      </c>
      <c r="D9" s="69">
        <v>24.545999999999999</v>
      </c>
      <c r="E9" s="69"/>
      <c r="F9" s="43">
        <v>35.223399999999998</v>
      </c>
      <c r="G9" s="43">
        <f>F9-D9</f>
        <v>10.677399999999999</v>
      </c>
      <c r="H9" s="6">
        <f>PRICES!B7</f>
        <v>84.59</v>
      </c>
      <c r="I9" s="29">
        <f t="shared" si="0"/>
        <v>2979.5474060000001</v>
      </c>
      <c r="J9" s="29">
        <f>IFERROR(I9-C9,"")</f>
        <v>992.54740600000014</v>
      </c>
      <c r="K9" s="30">
        <f t="shared" si="1"/>
        <v>0.49952058681429296</v>
      </c>
      <c r="L9" s="31">
        <f t="shared" ca="1" si="2"/>
        <v>19</v>
      </c>
      <c r="M9" s="29">
        <f t="shared" ca="1" si="3"/>
        <v>52.239337157894745</v>
      </c>
      <c r="N9" s="30">
        <f t="shared" ca="1" si="4"/>
        <v>2.6290557200752261E-2</v>
      </c>
      <c r="O9" s="80">
        <f ca="1">M9</f>
        <v>52.239337157894745</v>
      </c>
      <c r="P9" s="23"/>
      <c r="Q9" s="23"/>
      <c r="R9" s="44" t="s">
        <v>105</v>
      </c>
    </row>
    <row r="10" spans="1:18" ht="32.25" customHeight="1" x14ac:dyDescent="0.25">
      <c r="A10" s="9" t="s">
        <v>106</v>
      </c>
      <c r="B10" s="27">
        <v>46122</v>
      </c>
      <c r="C10" s="26">
        <v>6900</v>
      </c>
      <c r="D10" s="68">
        <v>5082</v>
      </c>
      <c r="E10" s="68"/>
      <c r="F10" s="45">
        <v>6623.31</v>
      </c>
      <c r="G10" s="45">
        <f>F10-D10</f>
        <v>1541.3100000000004</v>
      </c>
      <c r="H10" s="11">
        <f>PRICES!B8</f>
        <v>1.4</v>
      </c>
      <c r="I10" s="32">
        <f t="shared" si="0"/>
        <v>9272.634</v>
      </c>
      <c r="J10" s="32">
        <f>IFERROR(I10-C10,"")</f>
        <v>2372.634</v>
      </c>
      <c r="K10" s="33">
        <f t="shared" si="1"/>
        <v>0.34386</v>
      </c>
      <c r="L10" s="34">
        <f t="shared" ca="1" si="2"/>
        <v>10</v>
      </c>
      <c r="M10" s="32">
        <f t="shared" ca="1" si="3"/>
        <v>237.26339999999999</v>
      </c>
      <c r="N10" s="33">
        <f t="shared" ca="1" si="4"/>
        <v>3.4386E-2</v>
      </c>
      <c r="O10" s="81">
        <f>183*PRICES!B8</f>
        <v>256.2</v>
      </c>
      <c r="P10" s="26"/>
      <c r="Q10" s="26"/>
      <c r="R10" s="46" t="s">
        <v>107</v>
      </c>
    </row>
    <row r="11" spans="1:18" ht="52.5" customHeight="1" x14ac:dyDescent="0.25">
      <c r="A11" s="9" t="s">
        <v>108</v>
      </c>
      <c r="B11" s="27">
        <v>46122</v>
      </c>
      <c r="C11" s="26">
        <v>0</v>
      </c>
      <c r="D11" s="26"/>
      <c r="E11" s="26"/>
      <c r="F11" s="45">
        <v>82.223200000000006</v>
      </c>
      <c r="G11" s="45"/>
      <c r="H11" s="11">
        <f>PRICES!B10</f>
        <v>1</v>
      </c>
      <c r="I11" s="32">
        <f t="shared" si="0"/>
        <v>82.223200000000006</v>
      </c>
      <c r="J11" s="32">
        <v>3878.3</v>
      </c>
      <c r="K11" s="33" t="str">
        <f t="shared" si="1"/>
        <v/>
      </c>
      <c r="L11" s="34">
        <f t="shared" ca="1" si="2"/>
        <v>10</v>
      </c>
      <c r="M11" s="32">
        <f t="shared" ca="1" si="3"/>
        <v>387.83000000000004</v>
      </c>
      <c r="N11" s="33" t="str">
        <f t="shared" ca="1" si="4"/>
        <v/>
      </c>
      <c r="O11" s="81"/>
      <c r="P11" s="26">
        <f>J11-Q11-I11</f>
        <v>2946.0768000000003</v>
      </c>
      <c r="Q11" s="26">
        <f>650+200</f>
        <v>850</v>
      </c>
      <c r="R11" s="46" t="s">
        <v>109</v>
      </c>
    </row>
    <row r="12" spans="1:18" ht="18" customHeight="1" x14ac:dyDescent="0.25">
      <c r="A12" s="135" t="s">
        <v>85</v>
      </c>
      <c r="B12" s="132"/>
      <c r="C12" s="18">
        <f>SUM(C6:C11)</f>
        <v>16290.64</v>
      </c>
      <c r="D12" s="18"/>
      <c r="E12" s="18"/>
      <c r="F12" s="62"/>
      <c r="G12" s="62"/>
      <c r="H12" s="62"/>
      <c r="I12" s="18">
        <f>SUM(I6:I11)</f>
        <v>23593.298866000001</v>
      </c>
      <c r="J12" s="18">
        <f>SUM(J6:J11)</f>
        <v>9528.1458300000013</v>
      </c>
      <c r="K12" s="19">
        <f t="shared" si="1"/>
        <v>0.58488468408853189</v>
      </c>
      <c r="L12" s="73">
        <v>15</v>
      </c>
      <c r="M12" s="18">
        <f ca="1">IFERROR(SUM(M6:M10),"")</f>
        <v>485.46916236656682</v>
      </c>
      <c r="N12" s="19">
        <f t="shared" ca="1" si="4"/>
        <v>2.9800496626686664E-2</v>
      </c>
      <c r="O12" s="82">
        <f ca="1">SUM(O6:O11)</f>
        <v>506.78600626900584</v>
      </c>
      <c r="P12" s="18">
        <f>SUM(P6:P11)</f>
        <v>2946.0768000000003</v>
      </c>
      <c r="Q12" s="18">
        <f>SUM(Q6:Q11)</f>
        <v>1094</v>
      </c>
      <c r="R12" s="62"/>
    </row>
    <row r="14" spans="1:18" ht="72" customHeight="1" x14ac:dyDescent="0.25">
      <c r="A14" s="133" t="s">
        <v>56</v>
      </c>
      <c r="B14" s="132"/>
      <c r="C14" s="132"/>
      <c r="D14" s="132"/>
      <c r="E14" s="132"/>
      <c r="F14" s="132"/>
      <c r="G14" s="132"/>
      <c r="H14" s="132"/>
      <c r="I14" s="132"/>
      <c r="J14" s="132"/>
      <c r="K14" s="132"/>
      <c r="L14" s="132"/>
      <c r="M14" s="132"/>
      <c r="N14" s="132"/>
      <c r="O14" s="132"/>
      <c r="P14" s="132"/>
      <c r="Q14" s="132"/>
      <c r="R14" s="132"/>
    </row>
  </sheetData>
  <mergeCells count="6">
    <mergeCell ref="A3:R3"/>
    <mergeCell ref="A4:R4"/>
    <mergeCell ref="A2:R2"/>
    <mergeCell ref="A14:R14"/>
    <mergeCell ref="A1:R1"/>
    <mergeCell ref="A12:B1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0"/>
  <sheetViews>
    <sheetView showGridLines="0" tabSelected="1" zoomScaleNormal="100" workbookViewId="0">
      <pane ySplit="4" topLeftCell="A5" activePane="bottomLeft" state="frozen"/>
      <selection pane="bottomLeft" activeCell="P5" sqref="P5"/>
    </sheetView>
  </sheetViews>
  <sheetFormatPr defaultColWidth="8.7109375" defaultRowHeight="15" x14ac:dyDescent="0.25"/>
  <cols>
    <col min="1" max="1" width="27" customWidth="1"/>
    <col min="2" max="2" width="11" customWidth="1"/>
    <col min="3" max="3" width="13" customWidth="1"/>
    <col min="4" max="4" width="13.5703125" customWidth="1"/>
    <col min="5" max="6" width="14" customWidth="1"/>
    <col min="7" max="7" width="12" customWidth="1"/>
    <col min="8" max="9" width="9" customWidth="1"/>
    <col min="10" max="10" width="11" customWidth="1"/>
    <col min="11" max="11" width="9" customWidth="1"/>
    <col min="12" max="12" width="14" customWidth="1"/>
    <col min="13" max="13" width="11.42578125" customWidth="1"/>
    <col min="14" max="15" width="15" customWidth="1"/>
    <col min="16" max="16" width="58.42578125" customWidth="1"/>
  </cols>
  <sheetData>
    <row r="1" spans="1:16" ht="31.5" customHeight="1" x14ac:dyDescent="0.25">
      <c r="A1" s="147" t="s">
        <v>72</v>
      </c>
      <c r="B1" s="132"/>
      <c r="C1" s="132"/>
      <c r="D1" s="132"/>
      <c r="E1" s="132"/>
      <c r="F1" s="132"/>
      <c r="G1" s="132"/>
      <c r="H1" s="132"/>
      <c r="I1" s="132"/>
      <c r="J1" s="132"/>
      <c r="K1" s="132"/>
      <c r="L1" s="132"/>
      <c r="M1" s="132"/>
      <c r="N1" s="132"/>
      <c r="O1" s="132"/>
      <c r="P1" s="132"/>
    </row>
    <row r="2" spans="1:16" ht="31.5" customHeight="1" x14ac:dyDescent="0.25">
      <c r="A2" s="149">
        <f>SUMMARY!A2</f>
        <v>46132</v>
      </c>
      <c r="B2" s="132"/>
      <c r="C2" s="132"/>
      <c r="D2" s="132"/>
      <c r="E2" s="132"/>
      <c r="F2" s="132"/>
      <c r="G2" s="132"/>
      <c r="H2" s="132"/>
      <c r="I2" s="132"/>
      <c r="J2" s="132"/>
      <c r="K2" s="132"/>
      <c r="L2" s="132"/>
      <c r="M2" s="132"/>
      <c r="N2" s="132"/>
      <c r="O2" s="132"/>
      <c r="P2" s="132"/>
    </row>
    <row r="3" spans="1:16" ht="18" customHeight="1" x14ac:dyDescent="0.25">
      <c r="A3" s="134" t="s">
        <v>110</v>
      </c>
      <c r="B3" s="132"/>
      <c r="C3" s="132"/>
      <c r="D3" s="132"/>
      <c r="E3" s="132"/>
      <c r="F3" s="132"/>
      <c r="G3" s="132"/>
      <c r="H3" s="132"/>
      <c r="I3" s="132"/>
      <c r="J3" s="132"/>
      <c r="K3" s="132"/>
      <c r="L3" s="132"/>
      <c r="M3" s="132"/>
      <c r="N3" s="132"/>
      <c r="O3" s="132"/>
      <c r="P3" s="132"/>
    </row>
    <row r="4" spans="1:16" ht="30" customHeight="1" x14ac:dyDescent="0.25">
      <c r="A4" s="3" t="s">
        <v>111</v>
      </c>
      <c r="B4" s="3" t="s">
        <v>58</v>
      </c>
      <c r="C4" s="3" t="s">
        <v>59</v>
      </c>
      <c r="D4" s="3" t="s">
        <v>112</v>
      </c>
      <c r="E4" s="3" t="s">
        <v>60</v>
      </c>
      <c r="F4" s="3" t="s">
        <v>113</v>
      </c>
      <c r="G4" s="3" t="s">
        <v>62</v>
      </c>
      <c r="H4" s="3" t="s">
        <v>63</v>
      </c>
      <c r="I4" s="3" t="s">
        <v>64</v>
      </c>
      <c r="J4" s="3" t="s">
        <v>65</v>
      </c>
      <c r="K4" s="3" t="s">
        <v>66</v>
      </c>
      <c r="L4" s="3" t="s">
        <v>68</v>
      </c>
      <c r="M4" s="74" t="s">
        <v>114</v>
      </c>
      <c r="N4" s="3" t="s">
        <v>69</v>
      </c>
      <c r="O4" s="3" t="s">
        <v>115</v>
      </c>
      <c r="P4" s="3" t="s">
        <v>100</v>
      </c>
    </row>
    <row r="5" spans="1:16" ht="15.75" customHeight="1" x14ac:dyDescent="0.25">
      <c r="A5" s="4" t="s">
        <v>116</v>
      </c>
      <c r="B5" s="24">
        <v>46068</v>
      </c>
      <c r="C5" s="23">
        <v>6055</v>
      </c>
      <c r="D5" s="23"/>
      <c r="E5" s="23">
        <v>8052.37</v>
      </c>
      <c r="F5" s="23"/>
      <c r="G5" s="29">
        <v>1996.68</v>
      </c>
      <c r="H5" s="30">
        <f>IFERROR(G5/C5,"")</f>
        <v>0.32975722543352604</v>
      </c>
      <c r="I5" s="31">
        <f ca="1">IF(B5="","",TODAY()-B5)</f>
        <v>64</v>
      </c>
      <c r="J5" s="29">
        <f ca="1">IFERROR(G5/I5,"")</f>
        <v>31.198125000000001</v>
      </c>
      <c r="K5" s="30">
        <f ca="1">IFERROR(J5/C5,"")</f>
        <v>5.1524566473988443E-3</v>
      </c>
      <c r="L5" s="23">
        <v>17.84</v>
      </c>
      <c r="M5" s="23">
        <v>45</v>
      </c>
      <c r="N5" s="23">
        <v>50</v>
      </c>
      <c r="O5" s="72"/>
      <c r="P5" s="107" t="s">
        <v>117</v>
      </c>
    </row>
    <row r="6" spans="1:16" ht="29.25" customHeight="1" x14ac:dyDescent="0.25">
      <c r="A6" s="110" t="s">
        <v>118</v>
      </c>
      <c r="B6" s="27">
        <v>46088</v>
      </c>
      <c r="C6" s="26">
        <v>300</v>
      </c>
      <c r="D6" s="26"/>
      <c r="E6" s="26">
        <v>400</v>
      </c>
      <c r="F6" s="26"/>
      <c r="G6" s="32">
        <f>IF(OR(C6="",E6=""),"",E6-C6)</f>
        <v>100</v>
      </c>
      <c r="H6" s="33">
        <f>IFERROR(G6/C6,"")</f>
        <v>0.33333333333333331</v>
      </c>
      <c r="I6" s="34">
        <f ca="1">IF(B6="","",TODAY()-B6)</f>
        <v>44</v>
      </c>
      <c r="J6" s="32">
        <f ca="1">IFERROR(G6/I6,"")</f>
        <v>2.2727272727272729</v>
      </c>
      <c r="K6" s="33">
        <f ca="1">IFERROR(J6/C6,"")</f>
        <v>7.5757575757575768E-3</v>
      </c>
      <c r="L6" s="26"/>
      <c r="M6" s="26">
        <f ca="1">J6</f>
        <v>2.2727272727272729</v>
      </c>
      <c r="N6" s="26"/>
      <c r="O6" s="26"/>
      <c r="P6" s="17" t="s">
        <v>119</v>
      </c>
    </row>
    <row r="7" spans="1:16" ht="29.25" customHeight="1" x14ac:dyDescent="0.25">
      <c r="A7" s="110" t="s">
        <v>120</v>
      </c>
      <c r="B7" s="27">
        <v>46088</v>
      </c>
      <c r="C7" s="26">
        <v>0</v>
      </c>
      <c r="D7" s="26"/>
      <c r="E7" s="26">
        <v>39.299999999999997</v>
      </c>
      <c r="F7" s="26"/>
      <c r="G7" s="32">
        <f>IF(OR(C7="",E7=""),"",E7-C7)</f>
        <v>39.299999999999997</v>
      </c>
      <c r="H7" s="33" t="str">
        <f>IFERROR(G7/C7,"")</f>
        <v/>
      </c>
      <c r="I7" s="34">
        <f ca="1">IF(B7="","",TODAY()-B7)</f>
        <v>44</v>
      </c>
      <c r="J7" s="32">
        <f ca="1">IFERROR(G7/I7,"")</f>
        <v>0.89318181818181808</v>
      </c>
      <c r="K7" s="33" t="str">
        <f ca="1">IFERROR(J7/C7,"")</f>
        <v/>
      </c>
      <c r="L7" s="26"/>
      <c r="M7" s="26">
        <f ca="1">J7</f>
        <v>0.89318181818181808</v>
      </c>
      <c r="N7" s="26"/>
      <c r="O7" s="26"/>
      <c r="P7" s="17" t="s">
        <v>119</v>
      </c>
    </row>
    <row r="8" spans="1:16" ht="18" customHeight="1" x14ac:dyDescent="0.25">
      <c r="A8" s="148" t="s">
        <v>121</v>
      </c>
      <c r="B8" s="132"/>
      <c r="C8" s="35">
        <f>SUM(C5:C7)</f>
        <v>6355</v>
      </c>
      <c r="D8" s="35"/>
      <c r="E8" s="35">
        <f>SUM(E5:E7)</f>
        <v>8491.6699999999983</v>
      </c>
      <c r="F8" s="35"/>
      <c r="G8" s="35">
        <f>SUM(G5:G7)</f>
        <v>2135.9800000000005</v>
      </c>
      <c r="H8" s="36">
        <f>IFERROR(G8/C8,"")</f>
        <v>0.33611014948859175</v>
      </c>
      <c r="I8" s="112">
        <f ca="1">I5</f>
        <v>64</v>
      </c>
      <c r="J8" s="35">
        <f ca="1">SUM(J5:J7)</f>
        <v>34.364034090909087</v>
      </c>
      <c r="K8" s="36">
        <f ca="1">IFERROR(J8/C8,"")</f>
        <v>5.4074011158000137E-3</v>
      </c>
      <c r="L8" s="35">
        <f>SUM(L5:L7)</f>
        <v>17.84</v>
      </c>
      <c r="M8" s="35">
        <f ca="1">SUM(M5:M7)</f>
        <v>48.165909090909089</v>
      </c>
      <c r="N8" s="35">
        <f>SUM(N5:N7)</f>
        <v>50</v>
      </c>
      <c r="O8" s="35">
        <f>SUM(O5:O7)</f>
        <v>0</v>
      </c>
      <c r="P8" s="35"/>
    </row>
    <row r="9" spans="1:16" ht="18" customHeight="1" x14ac:dyDescent="0.25">
      <c r="A9" s="120"/>
      <c r="B9" s="120"/>
      <c r="C9" s="121"/>
      <c r="D9" s="121"/>
      <c r="E9" s="121"/>
      <c r="F9" s="121"/>
      <c r="G9" s="121"/>
      <c r="H9" s="122"/>
      <c r="I9" s="123"/>
      <c r="J9" s="121"/>
      <c r="K9" s="122"/>
      <c r="L9" s="121"/>
      <c r="M9" s="121"/>
      <c r="N9" s="121"/>
      <c r="O9" s="121"/>
      <c r="P9" s="121"/>
    </row>
    <row r="10" spans="1:16" ht="18" customHeight="1" x14ac:dyDescent="0.25">
      <c r="A10" s="146" t="s">
        <v>122</v>
      </c>
      <c r="B10" s="132"/>
      <c r="C10" s="132"/>
      <c r="D10" s="132"/>
      <c r="E10" s="132"/>
      <c r="F10" s="132"/>
      <c r="G10" s="132"/>
      <c r="H10" s="132"/>
      <c r="I10" s="132"/>
      <c r="J10" s="132"/>
      <c r="K10" s="132"/>
      <c r="L10" s="132"/>
      <c r="M10" s="132"/>
      <c r="N10" s="132"/>
      <c r="O10" s="132"/>
      <c r="P10" s="132"/>
    </row>
    <row r="11" spans="1:16" ht="29.25" hidden="1" customHeight="1" x14ac:dyDescent="0.25">
      <c r="A11" s="110"/>
      <c r="B11" s="27"/>
      <c r="C11" s="26"/>
      <c r="D11" s="26"/>
      <c r="E11" s="26"/>
      <c r="F11" s="26"/>
      <c r="G11" s="32"/>
      <c r="H11" s="33"/>
      <c r="I11" s="34"/>
      <c r="J11" s="32"/>
      <c r="K11" s="33"/>
      <c r="L11" s="26"/>
      <c r="M11" s="26"/>
      <c r="N11" s="26"/>
      <c r="O11" s="26"/>
      <c r="P11" s="17"/>
    </row>
    <row r="12" spans="1:16" ht="21" customHeight="1" x14ac:dyDescent="0.25">
      <c r="A12" s="9" t="s">
        <v>123</v>
      </c>
      <c r="B12" s="27">
        <v>46079</v>
      </c>
      <c r="C12" s="26">
        <v>1004</v>
      </c>
      <c r="D12" s="26"/>
      <c r="E12" s="26"/>
      <c r="F12" s="26">
        <f>C12+G12</f>
        <v>1154</v>
      </c>
      <c r="G12" s="106">
        <v>150</v>
      </c>
      <c r="H12" s="33">
        <f>IFERROR(G12/C12,"")</f>
        <v>0.14940239043824702</v>
      </c>
      <c r="I12" s="105">
        <v>27</v>
      </c>
      <c r="J12" s="32">
        <f>IFERROR(G12/I12,"")</f>
        <v>5.5555555555555554</v>
      </c>
      <c r="K12" s="33">
        <f>IFERROR(J12/C12,"")</f>
        <v>5.5334218680832227E-3</v>
      </c>
      <c r="L12" s="26">
        <v>465</v>
      </c>
      <c r="M12" s="26"/>
      <c r="N12" s="26"/>
      <c r="O12" s="106"/>
      <c r="P12" s="17" t="s">
        <v>124</v>
      </c>
    </row>
    <row r="13" spans="1:16" ht="24.75" customHeight="1" x14ac:dyDescent="0.25">
      <c r="A13" s="95" t="s">
        <v>125</v>
      </c>
      <c r="B13" s="24">
        <v>46073</v>
      </c>
      <c r="C13" s="23">
        <f>1497.78+220.01</f>
        <v>1717.79</v>
      </c>
      <c r="D13" s="70">
        <f>18.32+2.56</f>
        <v>20.88</v>
      </c>
      <c r="E13" s="23"/>
      <c r="F13" s="71">
        <v>24.546335791000001</v>
      </c>
      <c r="G13" s="103">
        <f>(F13-D13)*PRICES!B7</f>
        <v>310.13534456069016</v>
      </c>
      <c r="H13" s="30">
        <f>IFERROR(G13/C13,"")</f>
        <v>0.18054322388690711</v>
      </c>
      <c r="I13" s="104">
        <v>40</v>
      </c>
      <c r="J13" s="29">
        <f>IFERROR(G13/I13,"")</f>
        <v>7.7533836140172543</v>
      </c>
      <c r="K13" s="30">
        <f>IFERROR(J13/C13,"")</f>
        <v>4.5135805971726782E-3</v>
      </c>
      <c r="L13" s="23"/>
      <c r="M13" s="23"/>
      <c r="N13" s="23"/>
      <c r="O13" s="111">
        <v>24.546335791000001</v>
      </c>
      <c r="P13" s="107" t="s">
        <v>126</v>
      </c>
    </row>
    <row r="14" spans="1:16" ht="48.75" customHeight="1" x14ac:dyDescent="0.25">
      <c r="A14" s="110" t="s">
        <v>127</v>
      </c>
      <c r="B14" s="27">
        <v>46120</v>
      </c>
      <c r="C14" s="26">
        <v>625.21</v>
      </c>
      <c r="D14" s="26"/>
      <c r="E14" s="26"/>
      <c r="F14" s="26">
        <v>1292.46</v>
      </c>
      <c r="G14" s="32">
        <v>17.25</v>
      </c>
      <c r="H14" s="33">
        <f>IFERROR(G14/C14,"")</f>
        <v>2.7590729514882999E-2</v>
      </c>
      <c r="I14" s="34">
        <f ca="1">IF(B14="","",TODAY()-B14)</f>
        <v>12</v>
      </c>
      <c r="J14" s="32">
        <f ca="1">IFERROR(G14/I14,"")</f>
        <v>1.4375</v>
      </c>
      <c r="K14" s="33">
        <f ca="1">IFERROR(J14/C14,"")</f>
        <v>2.2992274595735832E-3</v>
      </c>
      <c r="L14" s="26">
        <v>1292.46</v>
      </c>
      <c r="M14" s="26"/>
      <c r="N14" s="26"/>
      <c r="O14" s="26"/>
      <c r="P14" s="109" t="s">
        <v>128</v>
      </c>
    </row>
    <row r="15" spans="1:16" ht="39.75" customHeight="1" x14ac:dyDescent="0.25">
      <c r="A15" s="4" t="s">
        <v>129</v>
      </c>
      <c r="B15" s="24">
        <v>46079</v>
      </c>
      <c r="C15" s="23">
        <v>500</v>
      </c>
      <c r="D15" s="70">
        <f>C15/PRICES!B5</f>
        <v>6.7048395531894922E-3</v>
      </c>
      <c r="E15" s="23"/>
      <c r="F15" s="102">
        <v>1.2125830000000001E-2</v>
      </c>
      <c r="G15" s="103">
        <f>(F15-D15)*PRICES!B5</f>
        <v>404.25952059000002</v>
      </c>
      <c r="H15" s="30">
        <f>IFERROR(G15/C15,"")</f>
        <v>0.80851904118000006</v>
      </c>
      <c r="I15" s="104">
        <v>45</v>
      </c>
      <c r="J15" s="29">
        <f>IFERROR(G15/I15,"")</f>
        <v>8.9835449020000002</v>
      </c>
      <c r="K15" s="30">
        <f>IFERROR(J15/C15,"")</f>
        <v>1.7967089804000001E-2</v>
      </c>
      <c r="L15" s="23"/>
      <c r="M15" s="23"/>
      <c r="N15" s="23"/>
      <c r="O15" s="108">
        <f>F15</f>
        <v>1.2125830000000001E-2</v>
      </c>
      <c r="P15" s="107" t="s">
        <v>130</v>
      </c>
    </row>
    <row r="16" spans="1:16" ht="24.75" customHeight="1" x14ac:dyDescent="0.25">
      <c r="A16" s="95" t="s">
        <v>131</v>
      </c>
      <c r="B16" s="24">
        <v>46067</v>
      </c>
      <c r="C16" s="23">
        <f>138.04+992.03+931.04</f>
        <v>2061.1099999999997</v>
      </c>
      <c r="D16" s="70">
        <f>0.0662+0.478+0.481</f>
        <v>1.0251999999999999</v>
      </c>
      <c r="E16" s="23"/>
      <c r="F16" s="71">
        <v>1.189824869</v>
      </c>
      <c r="G16" s="29">
        <f>(F16-D16)*PRICES!B6</f>
        <v>375.83857592700014</v>
      </c>
      <c r="H16" s="30">
        <f>IFERROR(G16/C16,"")</f>
        <v>0.18234765535415393</v>
      </c>
      <c r="I16" s="104">
        <v>42</v>
      </c>
      <c r="J16" s="29">
        <f>IFERROR(G16/I16,"")</f>
        <v>8.9485375220714314</v>
      </c>
      <c r="K16" s="30">
        <f>IFERROR(J16/C16,"")</f>
        <v>4.3416108417655697E-3</v>
      </c>
      <c r="L16" s="23"/>
      <c r="M16" s="23"/>
      <c r="N16" s="23"/>
      <c r="O16" s="111">
        <v>1.189824869</v>
      </c>
      <c r="P16" s="16" t="s">
        <v>132</v>
      </c>
    </row>
    <row r="17" spans="1:16" ht="29.25" hidden="1" customHeight="1" x14ac:dyDescent="0.25">
      <c r="A17" s="110"/>
      <c r="B17" s="27"/>
      <c r="C17" s="26"/>
      <c r="D17" s="26"/>
      <c r="E17" s="26"/>
      <c r="F17" s="26"/>
      <c r="G17" s="32"/>
      <c r="H17" s="33"/>
      <c r="I17" s="34"/>
      <c r="J17" s="32"/>
      <c r="K17" s="33"/>
      <c r="L17" s="26"/>
      <c r="M17" s="26"/>
      <c r="N17" s="26"/>
      <c r="O17" s="26"/>
      <c r="P17" s="17"/>
    </row>
    <row r="18" spans="1:16" ht="18" customHeight="1" x14ac:dyDescent="0.25">
      <c r="A18" s="148" t="s">
        <v>133</v>
      </c>
      <c r="B18" s="132"/>
      <c r="C18" s="35">
        <f>SUM(C12:C17)</f>
        <v>5908.11</v>
      </c>
      <c r="D18" s="35"/>
      <c r="E18" s="35">
        <f>E8</f>
        <v>8491.6699999999983</v>
      </c>
      <c r="F18" s="35"/>
      <c r="G18" s="35">
        <f>SUM(G12:G16)+G8</f>
        <v>3393.4634410776907</v>
      </c>
      <c r="H18" s="36">
        <f>IFERROR(G18/C18,"")</f>
        <v>0.57437377453664384</v>
      </c>
      <c r="I18" s="112">
        <f ca="1">I5</f>
        <v>64</v>
      </c>
      <c r="J18" s="35">
        <f ca="1">SUM(J5:J15)</f>
        <v>92.458052253390989</v>
      </c>
      <c r="K18" s="36">
        <f ca="1">IFERROR(J18/C18,"")</f>
        <v>1.56493450957059E-2</v>
      </c>
      <c r="L18" s="35">
        <f>SUM(L5:L15)</f>
        <v>1793.14</v>
      </c>
      <c r="M18" s="35">
        <f ca="1">SUM(M5:M16)</f>
        <v>96.331818181818178</v>
      </c>
      <c r="N18" s="35">
        <f>SUM(N5:N15)</f>
        <v>100</v>
      </c>
      <c r="O18" s="35">
        <f>C18+G18</f>
        <v>9301.5734410776895</v>
      </c>
      <c r="P18" s="124" t="s">
        <v>134</v>
      </c>
    </row>
    <row r="20" spans="1:16" ht="72" customHeight="1" x14ac:dyDescent="0.25">
      <c r="A20" s="133" t="s">
        <v>56</v>
      </c>
      <c r="B20" s="132"/>
      <c r="C20" s="132"/>
      <c r="D20" s="132"/>
      <c r="E20" s="132"/>
      <c r="F20" s="132"/>
      <c r="G20" s="132"/>
      <c r="H20" s="132"/>
      <c r="I20" s="132"/>
      <c r="J20" s="132"/>
      <c r="K20" s="132"/>
      <c r="L20" s="132"/>
      <c r="M20" s="132"/>
      <c r="N20" s="132"/>
      <c r="O20" s="132"/>
      <c r="P20" s="132"/>
    </row>
  </sheetData>
  <mergeCells count="7">
    <mergeCell ref="A10:P10"/>
    <mergeCell ref="A1:P1"/>
    <mergeCell ref="A3:P3"/>
    <mergeCell ref="A20:P20"/>
    <mergeCell ref="A18:B18"/>
    <mergeCell ref="A8:B8"/>
    <mergeCell ref="A2:P2"/>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
  <sheetViews>
    <sheetView showGridLines="0" zoomScaleNormal="100" workbookViewId="0">
      <pane ySplit="4" topLeftCell="A5" activePane="bottomLeft" state="frozen"/>
      <selection pane="bottomLeft" activeCell="M16" sqref="M16"/>
    </sheetView>
  </sheetViews>
  <sheetFormatPr defaultColWidth="8.7109375" defaultRowHeight="15" x14ac:dyDescent="0.25"/>
  <cols>
    <col min="1" max="1" width="22" customWidth="1"/>
    <col min="2" max="2" width="11" customWidth="1"/>
    <col min="3" max="3" width="13" customWidth="1"/>
    <col min="4" max="4" width="14" customWidth="1"/>
    <col min="5" max="5" width="12" customWidth="1"/>
    <col min="6" max="7" width="9" customWidth="1"/>
    <col min="8" max="8" width="11" customWidth="1"/>
    <col min="9" max="10" width="9" customWidth="1"/>
    <col min="11" max="11" width="14" customWidth="1"/>
    <col min="12" max="12" width="15" customWidth="1"/>
    <col min="13" max="13" width="52.42578125" customWidth="1"/>
  </cols>
  <sheetData>
    <row r="1" spans="1:13" ht="31.5" customHeight="1" x14ac:dyDescent="0.25">
      <c r="A1" s="150" t="s">
        <v>23</v>
      </c>
      <c r="B1" s="132"/>
      <c r="C1" s="132"/>
      <c r="D1" s="132"/>
      <c r="E1" s="132"/>
      <c r="F1" s="132"/>
      <c r="G1" s="132"/>
      <c r="H1" s="132"/>
      <c r="I1" s="132"/>
      <c r="J1" s="132"/>
      <c r="K1" s="132"/>
      <c r="L1" s="132"/>
      <c r="M1" s="132"/>
    </row>
    <row r="2" spans="1:13" ht="31.5" customHeight="1" x14ac:dyDescent="0.25">
      <c r="A2" s="151">
        <f>SUMMARY!A2</f>
        <v>46132</v>
      </c>
      <c r="B2" s="132"/>
      <c r="C2" s="132"/>
      <c r="D2" s="132"/>
      <c r="E2" s="132"/>
      <c r="F2" s="132"/>
      <c r="G2" s="132"/>
      <c r="H2" s="132"/>
      <c r="I2" s="132"/>
      <c r="J2" s="132"/>
      <c r="K2" s="132"/>
      <c r="L2" s="132"/>
      <c r="M2" s="132"/>
    </row>
    <row r="3" spans="1:13" ht="18" customHeight="1" x14ac:dyDescent="0.25">
      <c r="A3" s="134" t="s">
        <v>110</v>
      </c>
      <c r="B3" s="132"/>
      <c r="C3" s="132"/>
      <c r="D3" s="132"/>
      <c r="E3" s="132"/>
      <c r="F3" s="132"/>
      <c r="G3" s="132"/>
      <c r="H3" s="132"/>
      <c r="I3" s="132"/>
      <c r="J3" s="132"/>
      <c r="K3" s="132"/>
      <c r="L3" s="132"/>
      <c r="M3" s="132"/>
    </row>
    <row r="4" spans="1:13" ht="30" customHeight="1" x14ac:dyDescent="0.25">
      <c r="A4" s="3" t="s">
        <v>111</v>
      </c>
      <c r="B4" s="3" t="s">
        <v>58</v>
      </c>
      <c r="C4" s="3" t="s">
        <v>59</v>
      </c>
      <c r="D4" s="3" t="s">
        <v>60</v>
      </c>
      <c r="E4" s="3" t="s">
        <v>62</v>
      </c>
      <c r="F4" s="3" t="s">
        <v>63</v>
      </c>
      <c r="G4" s="3" t="s">
        <v>64</v>
      </c>
      <c r="H4" s="3" t="s">
        <v>65</v>
      </c>
      <c r="I4" s="3" t="s">
        <v>66</v>
      </c>
      <c r="J4" s="74" t="s">
        <v>114</v>
      </c>
      <c r="K4" s="3" t="s">
        <v>68</v>
      </c>
      <c r="L4" s="3" t="s">
        <v>69</v>
      </c>
      <c r="M4" s="3" t="s">
        <v>100</v>
      </c>
    </row>
    <row r="5" spans="1:13" ht="45.75" customHeight="1" x14ac:dyDescent="0.25">
      <c r="A5" s="4" t="s">
        <v>135</v>
      </c>
      <c r="B5" s="24">
        <v>46096</v>
      </c>
      <c r="C5" s="23">
        <v>5000</v>
      </c>
      <c r="D5" s="23">
        <v>9018.19</v>
      </c>
      <c r="E5" s="29">
        <f>IF(OR(C5="",D5=""),"",D5-C5)</f>
        <v>4018.1900000000005</v>
      </c>
      <c r="F5" s="30">
        <f>IFERROR(E5/C5,"")</f>
        <v>0.80363800000000007</v>
      </c>
      <c r="G5" s="31">
        <f ca="1">IF(B5="","",TODAY()-B5)</f>
        <v>36</v>
      </c>
      <c r="H5" s="29">
        <f ca="1">IFERROR(E5/G5,"")</f>
        <v>111.61638888888891</v>
      </c>
      <c r="I5" s="30">
        <f ca="1">IFERROR(H5/C5,"")</f>
        <v>2.2323277777777782E-2</v>
      </c>
      <c r="J5" s="84">
        <v>111</v>
      </c>
      <c r="K5" s="23"/>
      <c r="L5" s="23"/>
      <c r="M5" s="107" t="s">
        <v>136</v>
      </c>
    </row>
    <row r="6" spans="1:13" ht="18" customHeight="1" x14ac:dyDescent="0.25">
      <c r="A6" s="152" t="s">
        <v>137</v>
      </c>
      <c r="B6" s="132"/>
      <c r="C6" s="37">
        <f>SUM(C5)</f>
        <v>5000</v>
      </c>
      <c r="D6" s="37">
        <f>SUM(D5)</f>
        <v>9018.19</v>
      </c>
      <c r="E6" s="37">
        <f>SUM(E5)</f>
        <v>4018.1900000000005</v>
      </c>
      <c r="F6" s="38">
        <f>IFERROR(E6/C6,"")</f>
        <v>0.80363800000000007</v>
      </c>
      <c r="G6" s="66">
        <f ca="1">SUM(G5)</f>
        <v>36</v>
      </c>
      <c r="H6" s="37">
        <f ca="1">SUM(H5)</f>
        <v>111.61638888888891</v>
      </c>
      <c r="I6" s="38">
        <f ca="1">IFERROR(H6/C6,"")</f>
        <v>2.2323277777777782E-2</v>
      </c>
      <c r="J6" s="37">
        <f>SUM(J5)</f>
        <v>111</v>
      </c>
      <c r="K6" s="37">
        <f>SUM(K5)</f>
        <v>0</v>
      </c>
      <c r="L6" s="37">
        <f>SUM(L5)</f>
        <v>0</v>
      </c>
      <c r="M6" s="37"/>
    </row>
    <row r="8" spans="1:13" ht="72" customHeight="1" x14ac:dyDescent="0.25">
      <c r="A8" s="133" t="s">
        <v>56</v>
      </c>
      <c r="B8" s="132"/>
      <c r="C8" s="132"/>
      <c r="D8" s="132"/>
      <c r="E8" s="132"/>
      <c r="F8" s="132"/>
      <c r="G8" s="132"/>
      <c r="H8" s="132"/>
      <c r="I8" s="132"/>
      <c r="J8" s="132"/>
      <c r="K8" s="132"/>
      <c r="L8" s="132"/>
      <c r="M8" s="132"/>
    </row>
  </sheetData>
  <mergeCells count="5">
    <mergeCell ref="A1:M1"/>
    <mergeCell ref="A8:M8"/>
    <mergeCell ref="A3:M3"/>
    <mergeCell ref="A2:M2"/>
    <mergeCell ref="A6:B6"/>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8"/>
  <sheetViews>
    <sheetView showGridLines="0" zoomScaleNormal="100" workbookViewId="0">
      <pane ySplit="4" topLeftCell="A5" activePane="bottomLeft" state="frozen"/>
      <selection pane="bottomLeft" activeCell="O9" sqref="O9"/>
    </sheetView>
  </sheetViews>
  <sheetFormatPr defaultColWidth="8.7109375" defaultRowHeight="15" x14ac:dyDescent="0.25"/>
  <cols>
    <col min="1" max="1" width="22" customWidth="1"/>
    <col min="2" max="2" width="11" customWidth="1"/>
    <col min="3" max="3" width="13" customWidth="1"/>
    <col min="4" max="4" width="14" customWidth="1"/>
    <col min="5" max="5" width="12" customWidth="1"/>
    <col min="6" max="7" width="16.42578125" customWidth="1"/>
    <col min="8" max="9" width="9" customWidth="1"/>
    <col min="10" max="10" width="11" customWidth="1"/>
    <col min="11" max="12" width="9" customWidth="1"/>
    <col min="13" max="13" width="14" customWidth="1"/>
    <col min="14" max="14" width="15" customWidth="1"/>
    <col min="15" max="15" width="64.28515625" customWidth="1"/>
  </cols>
  <sheetData>
    <row r="1" spans="1:15" ht="31.5" customHeight="1" x14ac:dyDescent="0.25">
      <c r="A1" s="154" t="s">
        <v>73</v>
      </c>
      <c r="B1" s="132"/>
      <c r="C1" s="132"/>
      <c r="D1" s="132"/>
      <c r="E1" s="132"/>
      <c r="F1" s="132"/>
      <c r="G1" s="132"/>
      <c r="H1" s="132"/>
      <c r="I1" s="132"/>
      <c r="J1" s="132"/>
      <c r="K1" s="132"/>
      <c r="L1" s="132"/>
      <c r="M1" s="132"/>
      <c r="N1" s="132"/>
      <c r="O1" s="132"/>
    </row>
    <row r="2" spans="1:15" ht="31.5" customHeight="1" x14ac:dyDescent="0.25">
      <c r="A2" s="153">
        <f>SUMMARY!A2</f>
        <v>46132</v>
      </c>
      <c r="B2" s="132"/>
      <c r="C2" s="132"/>
      <c r="D2" s="132"/>
      <c r="E2" s="132"/>
      <c r="F2" s="132"/>
      <c r="G2" s="132"/>
      <c r="H2" s="132"/>
      <c r="I2" s="132"/>
      <c r="J2" s="132"/>
      <c r="K2" s="132"/>
      <c r="L2" s="132"/>
      <c r="M2" s="132"/>
      <c r="N2" s="132"/>
      <c r="O2" s="132"/>
    </row>
    <row r="3" spans="1:15" ht="18" customHeight="1" x14ac:dyDescent="0.25">
      <c r="A3" s="134" t="s">
        <v>110</v>
      </c>
      <c r="B3" s="132"/>
      <c r="C3" s="132"/>
      <c r="D3" s="132"/>
      <c r="E3" s="132"/>
      <c r="F3" s="132"/>
      <c r="G3" s="132"/>
      <c r="H3" s="132"/>
      <c r="I3" s="132"/>
      <c r="J3" s="132"/>
      <c r="K3" s="132"/>
      <c r="L3" s="132"/>
      <c r="M3" s="132"/>
      <c r="N3" s="132"/>
      <c r="O3" s="132"/>
    </row>
    <row r="4" spans="1:15" ht="48" customHeight="1" x14ac:dyDescent="0.25">
      <c r="A4" s="3" t="s">
        <v>111</v>
      </c>
      <c r="B4" s="3" t="s">
        <v>58</v>
      </c>
      <c r="C4" s="3" t="s">
        <v>59</v>
      </c>
      <c r="D4" s="3" t="s">
        <v>60</v>
      </c>
      <c r="E4" s="3" t="s">
        <v>62</v>
      </c>
      <c r="F4" s="74" t="s">
        <v>138</v>
      </c>
      <c r="G4" s="74" t="s">
        <v>139</v>
      </c>
      <c r="H4" s="3" t="s">
        <v>63</v>
      </c>
      <c r="I4" s="3" t="s">
        <v>64</v>
      </c>
      <c r="J4" s="3" t="s">
        <v>65</v>
      </c>
      <c r="K4" s="3" t="s">
        <v>66</v>
      </c>
      <c r="L4" s="74" t="s">
        <v>114</v>
      </c>
      <c r="M4" s="3" t="s">
        <v>68</v>
      </c>
      <c r="N4" s="3" t="s">
        <v>69</v>
      </c>
      <c r="O4" s="3" t="s">
        <v>100</v>
      </c>
    </row>
    <row r="5" spans="1:15" ht="51.75" customHeight="1" x14ac:dyDescent="0.25">
      <c r="A5" s="4" t="s">
        <v>140</v>
      </c>
      <c r="B5" s="24">
        <v>46103</v>
      </c>
      <c r="C5" s="23">
        <v>4918</v>
      </c>
      <c r="D5" s="23">
        <v>6868</v>
      </c>
      <c r="E5" s="29">
        <f>IF(OR(C5="",D5=""),"",D5-C5)</f>
        <v>1950</v>
      </c>
      <c r="F5" s="29">
        <v>0</v>
      </c>
      <c r="G5" s="29">
        <f>E5+F5+N5</f>
        <v>2130</v>
      </c>
      <c r="H5" s="30">
        <f>IFERROR(G5/C5,"")</f>
        <v>0.43310288735258234</v>
      </c>
      <c r="I5" s="31">
        <f ca="1">IF(B5="","",TODAY()-B5)</f>
        <v>29</v>
      </c>
      <c r="J5" s="29">
        <f ca="1">IFERROR(G5/I5,"")</f>
        <v>73.448275862068968</v>
      </c>
      <c r="K5" s="30">
        <f ca="1">IFERROR(J5/C5,"")</f>
        <v>1.493458232250284E-2</v>
      </c>
      <c r="L5" s="84">
        <v>206</v>
      </c>
      <c r="M5" s="23"/>
      <c r="N5" s="23">
        <v>180</v>
      </c>
      <c r="O5" s="107" t="s">
        <v>141</v>
      </c>
    </row>
    <row r="6" spans="1:15" ht="18" customHeight="1" x14ac:dyDescent="0.25">
      <c r="A6" s="155" t="s">
        <v>142</v>
      </c>
      <c r="B6" s="132"/>
      <c r="C6" s="39">
        <f>SUM(C5)</f>
        <v>4918</v>
      </c>
      <c r="D6" s="39">
        <f>SUM(D5)</f>
        <v>6868</v>
      </c>
      <c r="E6" s="39">
        <f>SUM(E5)</f>
        <v>1950</v>
      </c>
      <c r="F6" s="39">
        <f>F5</f>
        <v>0</v>
      </c>
      <c r="G6" s="39">
        <f>G5</f>
        <v>2130</v>
      </c>
      <c r="H6" s="40">
        <f>IFERROR(G6/C6,"")</f>
        <v>0.43310288735258234</v>
      </c>
      <c r="I6" s="65">
        <f ca="1">SUM(I5)</f>
        <v>29</v>
      </c>
      <c r="J6" s="39">
        <f ca="1">SUM(J5)</f>
        <v>73.448275862068968</v>
      </c>
      <c r="K6" s="40">
        <f ca="1">IFERROR(J6/C6,"")</f>
        <v>1.493458232250284E-2</v>
      </c>
      <c r="L6" s="85">
        <f>L5</f>
        <v>206</v>
      </c>
      <c r="M6" s="39">
        <f>SUM(M5)</f>
        <v>0</v>
      </c>
      <c r="N6" s="39">
        <f>SUM(N5)</f>
        <v>180</v>
      </c>
      <c r="O6" s="39"/>
    </row>
    <row r="8" spans="1:15" ht="72" customHeight="1" x14ac:dyDescent="0.25">
      <c r="A8" s="133" t="s">
        <v>56</v>
      </c>
      <c r="B8" s="132"/>
      <c r="C8" s="132"/>
      <c r="D8" s="132"/>
      <c r="E8" s="132"/>
      <c r="F8" s="132"/>
      <c r="G8" s="132"/>
      <c r="H8" s="132"/>
      <c r="I8" s="132"/>
      <c r="J8" s="132"/>
      <c r="K8" s="132"/>
      <c r="L8" s="132"/>
      <c r="M8" s="132"/>
      <c r="N8" s="132"/>
      <c r="O8" s="132"/>
    </row>
  </sheetData>
  <mergeCells count="5">
    <mergeCell ref="A2:O2"/>
    <mergeCell ref="A1:O1"/>
    <mergeCell ref="A8:O8"/>
    <mergeCell ref="A6:B6"/>
    <mergeCell ref="A3:O3"/>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8"/>
  <sheetViews>
    <sheetView showGridLines="0" zoomScaleNormal="100" workbookViewId="0">
      <pane ySplit="4" topLeftCell="A5" activePane="bottomLeft" state="frozen"/>
      <selection pane="bottomLeft" activeCell="A3" sqref="A3:O3"/>
    </sheetView>
  </sheetViews>
  <sheetFormatPr defaultColWidth="8.7109375" defaultRowHeight="15" x14ac:dyDescent="0.25"/>
  <cols>
    <col min="1" max="1" width="22" customWidth="1"/>
    <col min="2" max="2" width="11" customWidth="1"/>
    <col min="3" max="4" width="13" customWidth="1"/>
    <col min="5" max="5" width="14" customWidth="1"/>
    <col min="6" max="7" width="12" customWidth="1"/>
    <col min="8" max="9" width="9" customWidth="1"/>
    <col min="10" max="10" width="11" customWidth="1"/>
    <col min="11" max="12" width="9" customWidth="1"/>
    <col min="13" max="13" width="14" customWidth="1"/>
    <col min="14" max="14" width="15" customWidth="1"/>
    <col min="15" max="15" width="52.28515625" customWidth="1"/>
  </cols>
  <sheetData>
    <row r="1" spans="1:15" ht="31.5" customHeight="1" x14ac:dyDescent="0.25">
      <c r="A1" s="157" t="s">
        <v>74</v>
      </c>
      <c r="B1" s="132"/>
      <c r="C1" s="132"/>
      <c r="D1" s="132"/>
      <c r="E1" s="132"/>
      <c r="F1" s="132"/>
      <c r="G1" s="132"/>
      <c r="H1" s="132"/>
      <c r="I1" s="132"/>
      <c r="J1" s="132"/>
      <c r="K1" s="132"/>
      <c r="L1" s="132"/>
      <c r="M1" s="132"/>
      <c r="N1" s="132"/>
      <c r="O1" s="132"/>
    </row>
    <row r="2" spans="1:15" ht="31.5" customHeight="1" x14ac:dyDescent="0.25">
      <c r="A2" s="156">
        <f>SUMMARY!A2</f>
        <v>46132</v>
      </c>
      <c r="B2" s="132"/>
      <c r="C2" s="132"/>
      <c r="D2" s="132"/>
      <c r="E2" s="132"/>
      <c r="F2" s="132"/>
      <c r="G2" s="132"/>
      <c r="H2" s="132"/>
      <c r="I2" s="132"/>
      <c r="J2" s="132"/>
      <c r="K2" s="132"/>
      <c r="L2" s="132"/>
      <c r="M2" s="132"/>
      <c r="N2" s="132"/>
      <c r="O2" s="132"/>
    </row>
    <row r="3" spans="1:15" ht="18" customHeight="1" x14ac:dyDescent="0.25">
      <c r="A3" s="134" t="s">
        <v>110</v>
      </c>
      <c r="B3" s="132"/>
      <c r="C3" s="132"/>
      <c r="D3" s="132"/>
      <c r="E3" s="132"/>
      <c r="F3" s="132"/>
      <c r="G3" s="132"/>
      <c r="H3" s="132"/>
      <c r="I3" s="132"/>
      <c r="J3" s="132"/>
      <c r="K3" s="132"/>
      <c r="L3" s="132"/>
      <c r="M3" s="132"/>
      <c r="N3" s="132"/>
      <c r="O3" s="132"/>
    </row>
    <row r="4" spans="1:15" ht="30" customHeight="1" x14ac:dyDescent="0.25">
      <c r="A4" s="3" t="s">
        <v>111</v>
      </c>
      <c r="B4" s="3" t="s">
        <v>58</v>
      </c>
      <c r="C4" s="3" t="s">
        <v>59</v>
      </c>
      <c r="D4" s="3" t="s">
        <v>143</v>
      </c>
      <c r="E4" s="3" t="s">
        <v>60</v>
      </c>
      <c r="F4" s="3" t="s">
        <v>62</v>
      </c>
      <c r="G4" s="74" t="s">
        <v>144</v>
      </c>
      <c r="H4" s="3" t="s">
        <v>63</v>
      </c>
      <c r="I4" s="3" t="s">
        <v>64</v>
      </c>
      <c r="J4" s="3" t="s">
        <v>65</v>
      </c>
      <c r="K4" s="3" t="s">
        <v>66</v>
      </c>
      <c r="L4" s="74" t="s">
        <v>114</v>
      </c>
      <c r="M4" s="3" t="s">
        <v>68</v>
      </c>
      <c r="N4" s="3" t="s">
        <v>69</v>
      </c>
      <c r="O4" s="3" t="s">
        <v>100</v>
      </c>
    </row>
    <row r="5" spans="1:15" ht="60" customHeight="1" x14ac:dyDescent="0.25">
      <c r="A5" s="95" t="s">
        <v>145</v>
      </c>
      <c r="B5" s="24">
        <v>46099</v>
      </c>
      <c r="C5" s="23">
        <v>2525</v>
      </c>
      <c r="D5" s="23">
        <v>100</v>
      </c>
      <c r="E5" s="23">
        <v>4467</v>
      </c>
      <c r="F5" s="29">
        <v>1941.75</v>
      </c>
      <c r="G5" s="29">
        <v>71</v>
      </c>
      <c r="H5" s="30">
        <f>IFERROR(F5/C5,"")</f>
        <v>0.76900990099009903</v>
      </c>
      <c r="I5" s="31">
        <f ca="1">IF(B5="","",TODAY()-B5)</f>
        <v>33</v>
      </c>
      <c r="J5" s="29">
        <f ca="1">IFERROR(F5/I5,"")</f>
        <v>58.840909090909093</v>
      </c>
      <c r="K5" s="30">
        <f ca="1">IFERROR(J5/C5,"")</f>
        <v>2.3303330333033303E-2</v>
      </c>
      <c r="L5" s="80">
        <v>78.17</v>
      </c>
      <c r="M5" s="23"/>
      <c r="N5" s="23">
        <v>45</v>
      </c>
      <c r="O5" s="107" t="s">
        <v>146</v>
      </c>
    </row>
    <row r="6" spans="1:15" ht="18" customHeight="1" x14ac:dyDescent="0.25">
      <c r="A6" s="158" t="s">
        <v>147</v>
      </c>
      <c r="B6" s="132"/>
      <c r="C6" s="41">
        <f>SUM(C5)</f>
        <v>2525</v>
      </c>
      <c r="D6" s="41">
        <f>D5</f>
        <v>100</v>
      </c>
      <c r="E6" s="41">
        <f>SUM(E5)</f>
        <v>4467</v>
      </c>
      <c r="F6" s="41">
        <f>SUM(F5)</f>
        <v>1941.75</v>
      </c>
      <c r="G6" s="41">
        <f>G5</f>
        <v>71</v>
      </c>
      <c r="H6" s="42">
        <f>IFERROR(F6/C6,"")</f>
        <v>0.76900990099009903</v>
      </c>
      <c r="I6" s="64">
        <f ca="1">SUM(I5)</f>
        <v>33</v>
      </c>
      <c r="J6" s="41">
        <f ca="1">SUM(J5)</f>
        <v>58.840909090909093</v>
      </c>
      <c r="K6" s="42">
        <f ca="1">IFERROR(J6/C6,"")</f>
        <v>2.3303330333033303E-2</v>
      </c>
      <c r="L6" s="83">
        <f>L5</f>
        <v>78.17</v>
      </c>
      <c r="M6" s="41">
        <f>SUM(M5)</f>
        <v>0</v>
      </c>
      <c r="N6" s="41">
        <f>SUM(N5)</f>
        <v>45</v>
      </c>
      <c r="O6" s="63"/>
    </row>
    <row r="8" spans="1:15" ht="72" customHeight="1" x14ac:dyDescent="0.25">
      <c r="A8" s="133" t="s">
        <v>56</v>
      </c>
      <c r="B8" s="132"/>
      <c r="C8" s="132"/>
      <c r="D8" s="132"/>
      <c r="E8" s="132"/>
      <c r="F8" s="132"/>
      <c r="G8" s="132"/>
      <c r="H8" s="132"/>
      <c r="I8" s="132"/>
      <c r="J8" s="132"/>
      <c r="K8" s="132"/>
      <c r="L8" s="132"/>
      <c r="M8" s="132"/>
      <c r="N8" s="132"/>
      <c r="O8" s="132"/>
    </row>
  </sheetData>
  <mergeCells count="5">
    <mergeCell ref="A2:O2"/>
    <mergeCell ref="A1:O1"/>
    <mergeCell ref="A8:O8"/>
    <mergeCell ref="A6:B6"/>
    <mergeCell ref="A3:O3"/>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2"/>
  <sheetViews>
    <sheetView showGridLines="0" zoomScaleNormal="100" workbookViewId="0">
      <selection activeCell="A3" sqref="A3:D3"/>
    </sheetView>
  </sheetViews>
  <sheetFormatPr defaultColWidth="8.7109375" defaultRowHeight="15" x14ac:dyDescent="0.25"/>
  <cols>
    <col min="1" max="1" width="10" customWidth="1"/>
    <col min="2" max="2" width="16" customWidth="1"/>
    <col min="3" max="3" width="21.140625" customWidth="1"/>
    <col min="4" max="4" width="50.140625" customWidth="1"/>
  </cols>
  <sheetData>
    <row r="1" spans="1:6" ht="30" customHeight="1" x14ac:dyDescent="0.25">
      <c r="A1" s="131" t="s">
        <v>148</v>
      </c>
      <c r="B1" s="132"/>
      <c r="C1" s="132"/>
      <c r="D1" s="132"/>
    </row>
    <row r="2" spans="1:6" ht="30" customHeight="1" x14ac:dyDescent="0.25">
      <c r="A2" s="159">
        <f>SUMMARY!A2</f>
        <v>46132</v>
      </c>
      <c r="B2" s="132"/>
      <c r="C2" s="132"/>
      <c r="D2" s="132"/>
    </row>
    <row r="3" spans="1:6" ht="18" customHeight="1" x14ac:dyDescent="0.25">
      <c r="A3" s="134" t="s">
        <v>149</v>
      </c>
      <c r="B3" s="132"/>
      <c r="C3" s="132"/>
      <c r="D3" s="132"/>
    </row>
    <row r="4" spans="1:6" x14ac:dyDescent="0.25">
      <c r="A4" s="2" t="s">
        <v>6</v>
      </c>
      <c r="B4" s="2" t="s">
        <v>150</v>
      </c>
      <c r="C4" s="2" t="s">
        <v>151</v>
      </c>
      <c r="D4" s="2" t="s">
        <v>152</v>
      </c>
    </row>
    <row r="5" spans="1:6" ht="15.75" customHeight="1" x14ac:dyDescent="0.25">
      <c r="A5" s="4" t="s">
        <v>45</v>
      </c>
      <c r="B5" s="23">
        <v>74573</v>
      </c>
      <c r="C5" s="24">
        <v>46132</v>
      </c>
      <c r="D5" s="130" t="s">
        <v>153</v>
      </c>
      <c r="E5" s="125" t="s">
        <v>154</v>
      </c>
    </row>
    <row r="6" spans="1:6" ht="15.75" customHeight="1" x14ac:dyDescent="0.25">
      <c r="A6" s="9" t="s">
        <v>39</v>
      </c>
      <c r="B6" s="26">
        <v>2283</v>
      </c>
      <c r="C6" s="24">
        <v>46132</v>
      </c>
      <c r="D6" s="28" t="s">
        <v>155</v>
      </c>
      <c r="E6" s="125" t="s">
        <v>156</v>
      </c>
    </row>
    <row r="7" spans="1:6" ht="15.75" customHeight="1" x14ac:dyDescent="0.25">
      <c r="A7" s="4" t="s">
        <v>36</v>
      </c>
      <c r="B7" s="23">
        <v>84.59</v>
      </c>
      <c r="C7" s="24">
        <v>46132</v>
      </c>
      <c r="D7" s="25" t="s">
        <v>157</v>
      </c>
    </row>
    <row r="8" spans="1:6" ht="15.75" customHeight="1" x14ac:dyDescent="0.25">
      <c r="A8" s="9" t="s">
        <v>48</v>
      </c>
      <c r="B8" s="26">
        <v>1.4</v>
      </c>
      <c r="C8" s="24">
        <v>46132</v>
      </c>
      <c r="D8" s="28" t="s">
        <v>158</v>
      </c>
    </row>
    <row r="9" spans="1:6" ht="15.75" customHeight="1" x14ac:dyDescent="0.25">
      <c r="A9" s="4" t="s">
        <v>159</v>
      </c>
      <c r="B9" s="23">
        <v>54.83</v>
      </c>
      <c r="C9" s="24">
        <v>46132</v>
      </c>
      <c r="D9" s="25" t="s">
        <v>160</v>
      </c>
    </row>
    <row r="10" spans="1:6" ht="15.75" customHeight="1" x14ac:dyDescent="0.25">
      <c r="A10" s="9" t="s">
        <v>24</v>
      </c>
      <c r="B10" s="26">
        <v>1</v>
      </c>
      <c r="C10" s="24">
        <v>46132</v>
      </c>
      <c r="D10" s="28" t="s">
        <v>161</v>
      </c>
    </row>
    <row r="12" spans="1:6" ht="72" customHeight="1" x14ac:dyDescent="0.25">
      <c r="A12" s="133" t="s">
        <v>56</v>
      </c>
      <c r="B12" s="132"/>
      <c r="C12" s="132"/>
      <c r="D12" s="132"/>
      <c r="E12" s="132"/>
      <c r="F12" s="132"/>
    </row>
  </sheetData>
  <mergeCells count="4">
    <mergeCell ref="A1:D1"/>
    <mergeCell ref="A12:F12"/>
    <mergeCell ref="A3:D3"/>
    <mergeCell ref="A2:D2"/>
  </mergeCells>
  <hyperlinks>
    <hyperlink ref="E5" r:id="rId1" xr:uid="{00000000-0004-0000-0600-000000000000}"/>
    <hyperlink ref="E6" r:id="rId2" display="https://coinmarketcap.com/" xr:uid="{00000000-0004-0000-0600-000001000000}"/>
  </hyperlink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4"/>
  <sheetViews>
    <sheetView showGridLines="0" zoomScaleNormal="100" workbookViewId="0">
      <pane ySplit="3" topLeftCell="A4" activePane="bottomLeft" state="frozen"/>
      <selection pane="bottomLeft" activeCell="K16" sqref="K16"/>
    </sheetView>
  </sheetViews>
  <sheetFormatPr defaultColWidth="8.7109375" defaultRowHeight="15" x14ac:dyDescent="0.25"/>
  <cols>
    <col min="1" max="1" width="12" customWidth="1"/>
    <col min="2" max="2" width="16" customWidth="1"/>
    <col min="3" max="4" width="20" customWidth="1"/>
    <col min="5" max="5" width="8" customWidth="1"/>
    <col min="6" max="7" width="12" customWidth="1"/>
    <col min="8" max="8" width="13.5703125" customWidth="1"/>
    <col min="9" max="9" width="60.85546875" customWidth="1"/>
  </cols>
  <sheetData>
    <row r="1" spans="1:9" ht="30" customHeight="1" x14ac:dyDescent="0.25">
      <c r="A1" s="131" t="s">
        <v>0</v>
      </c>
      <c r="B1" s="132"/>
      <c r="C1" s="132"/>
      <c r="D1" s="132"/>
      <c r="E1" s="132"/>
      <c r="F1" s="132"/>
      <c r="G1" s="132"/>
      <c r="H1" s="132"/>
      <c r="I1" s="132"/>
    </row>
    <row r="2" spans="1:9" ht="18" customHeight="1" x14ac:dyDescent="0.25">
      <c r="A2" s="134" t="s">
        <v>1</v>
      </c>
      <c r="B2" s="132"/>
      <c r="C2" s="132"/>
      <c r="D2" s="132"/>
      <c r="E2" s="132"/>
      <c r="F2" s="132"/>
      <c r="G2" s="132"/>
      <c r="H2" s="132"/>
      <c r="I2" s="132"/>
    </row>
    <row r="3" spans="1:9" ht="24" customHeight="1" x14ac:dyDescent="0.25">
      <c r="A3" s="3" t="s">
        <v>2</v>
      </c>
      <c r="B3" s="3" t="s">
        <v>3</v>
      </c>
      <c r="C3" s="3" t="s">
        <v>4</v>
      </c>
      <c r="D3" s="3" t="s">
        <v>5</v>
      </c>
      <c r="E3" s="3" t="s">
        <v>6</v>
      </c>
      <c r="F3" s="3" t="s">
        <v>7</v>
      </c>
      <c r="G3" s="3" t="s">
        <v>8</v>
      </c>
      <c r="H3" s="3" t="s">
        <v>9</v>
      </c>
      <c r="I3" s="3" t="s">
        <v>10</v>
      </c>
    </row>
    <row r="4" spans="1:9" ht="30" customHeight="1" x14ac:dyDescent="0.25">
      <c r="A4" s="47">
        <v>46068</v>
      </c>
      <c r="B4" s="48" t="s">
        <v>11</v>
      </c>
      <c r="C4" s="160" t="s">
        <v>162</v>
      </c>
      <c r="D4" s="49" t="s">
        <v>12</v>
      </c>
      <c r="E4" s="49" t="s">
        <v>13</v>
      </c>
      <c r="F4" s="50">
        <v>6355</v>
      </c>
      <c r="G4" s="51">
        <v>6355</v>
      </c>
      <c r="H4" s="52" t="s">
        <v>14</v>
      </c>
      <c r="I4" s="53" t="s">
        <v>15</v>
      </c>
    </row>
    <row r="5" spans="1:9" ht="28.5" customHeight="1" x14ac:dyDescent="0.25">
      <c r="A5" s="54">
        <v>46088</v>
      </c>
      <c r="B5" s="48" t="s">
        <v>11</v>
      </c>
      <c r="C5" s="160" t="s">
        <v>162</v>
      </c>
      <c r="D5" s="55" t="s">
        <v>16</v>
      </c>
      <c r="E5" s="55" t="s">
        <v>17</v>
      </c>
      <c r="F5" s="56">
        <v>100.12</v>
      </c>
      <c r="G5" s="57">
        <v>100.12</v>
      </c>
      <c r="H5" s="52" t="s">
        <v>14</v>
      </c>
      <c r="I5" s="115" t="s">
        <v>18</v>
      </c>
    </row>
    <row r="6" spans="1:9" ht="27.75" customHeight="1" x14ac:dyDescent="0.25">
      <c r="A6" s="47">
        <v>46089</v>
      </c>
      <c r="B6" s="48" t="s">
        <v>11</v>
      </c>
      <c r="C6" s="160" t="s">
        <v>162</v>
      </c>
      <c r="D6" s="49" t="s">
        <v>19</v>
      </c>
      <c r="E6" s="49" t="s">
        <v>20</v>
      </c>
      <c r="F6" s="50">
        <v>501</v>
      </c>
      <c r="G6" s="51">
        <v>501</v>
      </c>
      <c r="H6" s="52" t="s">
        <v>14</v>
      </c>
      <c r="I6" s="53" t="s">
        <v>21</v>
      </c>
    </row>
    <row r="7" spans="1:9" ht="15.75" customHeight="1" x14ac:dyDescent="0.25">
      <c r="A7" s="54">
        <v>46091</v>
      </c>
      <c r="B7" s="48" t="s">
        <v>11</v>
      </c>
      <c r="C7" s="160" t="s">
        <v>162</v>
      </c>
      <c r="D7" s="55" t="s">
        <v>22</v>
      </c>
      <c r="E7" s="55" t="s">
        <v>17</v>
      </c>
      <c r="F7" s="56">
        <v>1042.29</v>
      </c>
      <c r="G7" s="57">
        <v>1042.29</v>
      </c>
      <c r="H7" s="52" t="s">
        <v>14</v>
      </c>
      <c r="I7" s="58" t="s">
        <v>163</v>
      </c>
    </row>
    <row r="8" spans="1:9" ht="15.75" customHeight="1" x14ac:dyDescent="0.25">
      <c r="A8" s="47">
        <v>46096</v>
      </c>
      <c r="B8" s="48" t="s">
        <v>11</v>
      </c>
      <c r="C8" s="160" t="s">
        <v>162</v>
      </c>
      <c r="D8" s="49" t="s">
        <v>23</v>
      </c>
      <c r="E8" s="49" t="s">
        <v>24</v>
      </c>
      <c r="F8" s="50">
        <v>5004.51</v>
      </c>
      <c r="G8" s="51">
        <v>5000</v>
      </c>
      <c r="H8" s="52" t="s">
        <v>14</v>
      </c>
      <c r="I8" s="129" t="s">
        <v>25</v>
      </c>
    </row>
    <row r="9" spans="1:9" ht="15.75" customHeight="1" x14ac:dyDescent="0.25">
      <c r="A9" s="54">
        <v>46099</v>
      </c>
      <c r="B9" s="48" t="s">
        <v>11</v>
      </c>
      <c r="C9" s="160" t="s">
        <v>162</v>
      </c>
      <c r="D9" s="55" t="s">
        <v>26</v>
      </c>
      <c r="E9" s="55" t="s">
        <v>24</v>
      </c>
      <c r="F9" s="56">
        <v>2654.86</v>
      </c>
      <c r="G9" s="57">
        <v>2650</v>
      </c>
      <c r="H9" s="52" t="s">
        <v>14</v>
      </c>
      <c r="I9" s="58" t="s">
        <v>27</v>
      </c>
    </row>
    <row r="10" spans="1:9" ht="22.5" customHeight="1" x14ac:dyDescent="0.25">
      <c r="A10" s="47">
        <v>46103</v>
      </c>
      <c r="B10" s="48" t="s">
        <v>11</v>
      </c>
      <c r="C10" s="160" t="s">
        <v>162</v>
      </c>
      <c r="D10" s="49" t="s">
        <v>28</v>
      </c>
      <c r="E10" s="49" t="s">
        <v>17</v>
      </c>
      <c r="F10" s="50">
        <v>4918</v>
      </c>
      <c r="G10" s="51">
        <v>4918</v>
      </c>
      <c r="H10" s="52" t="s">
        <v>14</v>
      </c>
      <c r="I10" s="53" t="s">
        <v>164</v>
      </c>
    </row>
    <row r="11" spans="1:9" ht="27" customHeight="1" x14ac:dyDescent="0.25">
      <c r="A11" s="54">
        <v>46107</v>
      </c>
      <c r="B11" s="48" t="s">
        <v>11</v>
      </c>
      <c r="C11" s="160" t="s">
        <v>162</v>
      </c>
      <c r="D11" s="55" t="s">
        <v>16</v>
      </c>
      <c r="E11" s="55" t="s">
        <v>24</v>
      </c>
      <c r="F11" s="56">
        <v>201.16</v>
      </c>
      <c r="G11" s="57">
        <v>200</v>
      </c>
      <c r="H11" s="52" t="s">
        <v>14</v>
      </c>
      <c r="I11" s="115" t="s">
        <v>29</v>
      </c>
    </row>
    <row r="12" spans="1:9" ht="15.75" customHeight="1" x14ac:dyDescent="0.25">
      <c r="A12" s="47">
        <v>46107</v>
      </c>
      <c r="B12" s="48" t="s">
        <v>11</v>
      </c>
      <c r="C12" s="160" t="s">
        <v>162</v>
      </c>
      <c r="D12" s="49" t="s">
        <v>30</v>
      </c>
      <c r="E12" s="49" t="s">
        <v>24</v>
      </c>
      <c r="F12" s="50">
        <v>250</v>
      </c>
      <c r="G12" s="51">
        <v>250</v>
      </c>
      <c r="H12" s="59" t="s">
        <v>31</v>
      </c>
      <c r="I12" s="53" t="s">
        <v>32</v>
      </c>
    </row>
    <row r="13" spans="1:9" ht="15.75" customHeight="1" x14ac:dyDescent="0.25">
      <c r="A13" s="54">
        <v>46113</v>
      </c>
      <c r="B13" s="60" t="s">
        <v>33</v>
      </c>
      <c r="C13" s="55" t="s">
        <v>34</v>
      </c>
      <c r="D13" s="55" t="s">
        <v>35</v>
      </c>
      <c r="E13" s="55" t="s">
        <v>36</v>
      </c>
      <c r="F13" s="56">
        <v>32.648899999999998</v>
      </c>
      <c r="G13" s="57">
        <v>1987</v>
      </c>
      <c r="H13" s="52" t="s">
        <v>14</v>
      </c>
      <c r="I13" s="58" t="s">
        <v>37</v>
      </c>
    </row>
    <row r="14" spans="1:9" ht="15.75" customHeight="1" x14ac:dyDescent="0.25">
      <c r="A14" s="47">
        <v>46114</v>
      </c>
      <c r="B14" s="60" t="s">
        <v>33</v>
      </c>
      <c r="C14" s="49" t="s">
        <v>34</v>
      </c>
      <c r="D14" s="49" t="s">
        <v>38</v>
      </c>
      <c r="E14" s="49" t="s">
        <v>39</v>
      </c>
      <c r="F14" s="50">
        <v>1.5390999999999999</v>
      </c>
      <c r="G14" s="51">
        <v>2245</v>
      </c>
      <c r="H14" s="52" t="s">
        <v>14</v>
      </c>
      <c r="I14" s="53" t="s">
        <v>40</v>
      </c>
    </row>
    <row r="15" spans="1:9" ht="15.75" customHeight="1" x14ac:dyDescent="0.25">
      <c r="A15" s="54">
        <v>46120</v>
      </c>
      <c r="B15" s="48" t="s">
        <v>11</v>
      </c>
      <c r="C15" s="55" t="s">
        <v>41</v>
      </c>
      <c r="D15" s="55" t="s">
        <v>42</v>
      </c>
      <c r="E15" s="55" t="s">
        <v>24</v>
      </c>
      <c r="F15" s="56">
        <v>633.34</v>
      </c>
      <c r="G15" s="57">
        <v>633.34</v>
      </c>
      <c r="H15" s="52" t="s">
        <v>14</v>
      </c>
      <c r="I15" s="58" t="s">
        <v>43</v>
      </c>
    </row>
    <row r="16" spans="1:9" ht="15.75" customHeight="1" x14ac:dyDescent="0.25">
      <c r="A16" s="47">
        <v>46120</v>
      </c>
      <c r="B16" s="48" t="s">
        <v>11</v>
      </c>
      <c r="C16" s="49" t="s">
        <v>41</v>
      </c>
      <c r="D16" s="49" t="s">
        <v>44</v>
      </c>
      <c r="E16" s="49" t="s">
        <v>45</v>
      </c>
      <c r="F16" s="50">
        <v>1.1983000000000001E-2</v>
      </c>
      <c r="G16" s="51">
        <v>1006.58</v>
      </c>
      <c r="H16" s="52" t="s">
        <v>14</v>
      </c>
      <c r="I16" s="53" t="s">
        <v>46</v>
      </c>
    </row>
    <row r="17" spans="1:9" ht="15.75" customHeight="1" x14ac:dyDescent="0.25">
      <c r="A17" s="54">
        <v>46122</v>
      </c>
      <c r="B17" s="48" t="s">
        <v>11</v>
      </c>
      <c r="C17" s="160" t="s">
        <v>162</v>
      </c>
      <c r="D17" s="55" t="s">
        <v>47</v>
      </c>
      <c r="E17" s="55" t="s">
        <v>48</v>
      </c>
      <c r="F17" s="56">
        <v>5841.86</v>
      </c>
      <c r="G17" s="57">
        <v>6900</v>
      </c>
      <c r="H17" s="52" t="s">
        <v>14</v>
      </c>
      <c r="I17" s="58" t="s">
        <v>165</v>
      </c>
    </row>
    <row r="18" spans="1:9" ht="15.75" customHeight="1" x14ac:dyDescent="0.25">
      <c r="A18" s="47">
        <v>46126</v>
      </c>
      <c r="B18" s="61" t="s">
        <v>49</v>
      </c>
      <c r="C18" s="49" t="s">
        <v>50</v>
      </c>
      <c r="D18" s="49" t="s">
        <v>51</v>
      </c>
      <c r="E18" s="49" t="s">
        <v>24</v>
      </c>
      <c r="F18" s="50">
        <v>650</v>
      </c>
      <c r="G18" s="51">
        <v>650</v>
      </c>
      <c r="H18" s="52" t="s">
        <v>14</v>
      </c>
      <c r="I18" s="53" t="s">
        <v>52</v>
      </c>
    </row>
    <row r="19" spans="1:9" ht="15.75" customHeight="1" x14ac:dyDescent="0.25">
      <c r="A19" s="54">
        <v>46127</v>
      </c>
      <c r="B19" s="60" t="s">
        <v>33</v>
      </c>
      <c r="C19" s="55" t="s">
        <v>50</v>
      </c>
      <c r="D19" s="55" t="s">
        <v>28</v>
      </c>
      <c r="E19" s="55" t="s">
        <v>24</v>
      </c>
      <c r="F19" s="56">
        <v>1100</v>
      </c>
      <c r="G19" s="57">
        <v>1100</v>
      </c>
      <c r="H19" s="52" t="s">
        <v>14</v>
      </c>
      <c r="I19" s="58" t="s">
        <v>53</v>
      </c>
    </row>
    <row r="20" spans="1:9" ht="15.75" customHeight="1" x14ac:dyDescent="0.25">
      <c r="A20" s="47">
        <v>46127</v>
      </c>
      <c r="B20" s="61" t="s">
        <v>49</v>
      </c>
      <c r="C20" s="49" t="s">
        <v>50</v>
      </c>
      <c r="D20" s="49" t="s">
        <v>51</v>
      </c>
      <c r="E20" s="49" t="s">
        <v>24</v>
      </c>
      <c r="F20" s="50">
        <v>200</v>
      </c>
      <c r="G20" s="51">
        <v>200</v>
      </c>
      <c r="H20" s="52" t="s">
        <v>14</v>
      </c>
      <c r="I20" s="53" t="s">
        <v>52</v>
      </c>
    </row>
    <row r="21" spans="1:9" ht="15.75" customHeight="1" x14ac:dyDescent="0.25">
      <c r="A21" s="54">
        <v>46127</v>
      </c>
      <c r="B21" s="60" t="s">
        <v>33</v>
      </c>
      <c r="C21" s="114" t="s">
        <v>54</v>
      </c>
      <c r="D21" s="160" t="s">
        <v>162</v>
      </c>
      <c r="E21" s="114" t="s">
        <v>45</v>
      </c>
      <c r="F21" s="56">
        <v>4.6899999999999997E-2</v>
      </c>
      <c r="G21" s="57">
        <v>3612.45</v>
      </c>
      <c r="H21" s="52" t="s">
        <v>14</v>
      </c>
      <c r="I21" s="58" t="s">
        <v>166</v>
      </c>
    </row>
    <row r="22" spans="1:9" ht="15.75" customHeight="1" x14ac:dyDescent="0.25">
      <c r="A22" s="116">
        <v>46129</v>
      </c>
      <c r="B22" s="60" t="s">
        <v>33</v>
      </c>
      <c r="C22" s="160" t="s">
        <v>162</v>
      </c>
      <c r="D22" s="117" t="s">
        <v>55</v>
      </c>
      <c r="E22" s="117" t="s">
        <v>45</v>
      </c>
      <c r="F22" s="118">
        <f>ARBCORE!F8</f>
        <v>8.3519999999999997E-2</v>
      </c>
      <c r="G22" s="119">
        <f>ARBCORE!C8</f>
        <v>4116.3500000000004</v>
      </c>
      <c r="H22" s="52" t="s">
        <v>14</v>
      </c>
      <c r="I22" s="161" t="s">
        <v>167</v>
      </c>
    </row>
    <row r="24" spans="1:9" ht="72" customHeight="1" x14ac:dyDescent="0.25">
      <c r="A24" s="133" t="s">
        <v>56</v>
      </c>
      <c r="B24" s="132"/>
      <c r="C24" s="132"/>
      <c r="D24" s="132"/>
      <c r="E24" s="132"/>
      <c r="F24" s="132"/>
      <c r="G24" s="132"/>
      <c r="H24" s="132"/>
      <c r="I24" s="132"/>
    </row>
  </sheetData>
  <mergeCells count="3">
    <mergeCell ref="A1:I1"/>
    <mergeCell ref="A24:I24"/>
    <mergeCell ref="A2:I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ARBCORE</vt:lpstr>
      <vt:lpstr>AURUM</vt:lpstr>
      <vt:lpstr>DSJ</vt:lpstr>
      <vt:lpstr>MEGAPRO</vt:lpstr>
      <vt:lpstr>QUANTRO</vt:lpstr>
      <vt:lpstr>PRICES</vt:lpstr>
      <vt:lpstr>DEPOSIT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Seth Prescott</cp:lastModifiedBy>
  <cp:revision>0</cp:revision>
  <dcterms:created xsi:type="dcterms:W3CDTF">2026-04-16T13:11:02Z</dcterms:created>
  <dcterms:modified xsi:type="dcterms:W3CDTF">2026-04-20T06:17:11Z</dcterms:modified>
  <dc:language>en-US</dc:language>
</cp:coreProperties>
</file>