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sethp\Dropbox\1 Crypto\CompoundFlow\"/>
    </mc:Choice>
  </mc:AlternateContent>
  <xr:revisionPtr revIDLastSave="0" documentId="8_{DC8398F9-26DF-4AF4-BC95-C28691935D55}" xr6:coauthVersionLast="47" xr6:coauthVersionMax="47" xr10:uidLastSave="{00000000-0000-0000-0000-000000000000}"/>
  <bookViews>
    <workbookView xWindow="-28920" yWindow="-120" windowWidth="29040" windowHeight="15720" firstSheet="1" activeTab="5" xr2:uid="{00000000-000D-0000-FFFF-FFFF00000000}"/>
  </bookViews>
  <sheets>
    <sheet name="How to Use" sheetId="1" r:id="rId1"/>
    <sheet name="Growth Calculator" sheetId="2" r:id="rId2"/>
    <sheet name="Goal Seek – Find Principal" sheetId="3" r:id="rId3"/>
    <sheet name="Withdrawal – Profit Taking" sheetId="4" r:id="rId4"/>
    <sheet name="Withdrawal – Scheduled Partial" sheetId="5" r:id="rId5"/>
    <sheet name="Monthly Schedule"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4" l="1"/>
  <c r="C15" i="4" s="1"/>
  <c r="E11" i="6"/>
  <c r="C7" i="6"/>
  <c r="C11" i="6"/>
  <c r="B39" i="4"/>
  <c r="B38" i="4"/>
  <c r="B37" i="4"/>
  <c r="B36" i="4"/>
  <c r="B35" i="4"/>
  <c r="B34" i="4"/>
  <c r="B33" i="4"/>
  <c r="B32" i="4"/>
  <c r="B31" i="4"/>
  <c r="B30" i="4"/>
  <c r="B29" i="4"/>
  <c r="B28" i="4"/>
  <c r="C16" i="4"/>
  <c r="F27" i="3"/>
  <c r="E27" i="3"/>
  <c r="D27" i="3"/>
  <c r="C27" i="3"/>
  <c r="F26" i="3"/>
  <c r="E26" i="3"/>
  <c r="D26" i="3"/>
  <c r="C26" i="3"/>
  <c r="F25" i="3"/>
  <c r="E25" i="3"/>
  <c r="D25" i="3"/>
  <c r="C25" i="3"/>
  <c r="F24" i="3"/>
  <c r="E24" i="3"/>
  <c r="D24" i="3"/>
  <c r="C24" i="3"/>
  <c r="F23" i="3"/>
  <c r="E23" i="3"/>
  <c r="D23" i="3"/>
  <c r="C23" i="3"/>
  <c r="F22" i="3"/>
  <c r="E22" i="3"/>
  <c r="D22" i="3"/>
  <c r="C22" i="3"/>
  <c r="F21" i="3"/>
  <c r="E21" i="3"/>
  <c r="D21" i="3"/>
  <c r="C21" i="3"/>
  <c r="F20" i="3"/>
  <c r="E20" i="3"/>
  <c r="D20" i="3"/>
  <c r="C20" i="3"/>
  <c r="F19" i="3"/>
  <c r="E19" i="3"/>
  <c r="D19" i="3"/>
  <c r="C19" i="3"/>
  <c r="C14" i="3"/>
  <c r="C12" i="3"/>
  <c r="C11" i="3"/>
  <c r="C13" i="3" s="1"/>
  <c r="C15" i="3" s="1"/>
  <c r="C36" i="2"/>
  <c r="C34" i="2"/>
  <c r="C33" i="2"/>
  <c r="C32" i="2"/>
  <c r="D31" i="2"/>
  <c r="C31" i="2"/>
  <c r="C23" i="2"/>
  <c r="C17" i="2"/>
  <c r="C16" i="2"/>
  <c r="C14" i="2"/>
  <c r="B62" i="5"/>
  <c r="B61" i="5"/>
  <c r="B60" i="5"/>
  <c r="B59" i="5"/>
  <c r="B58" i="5"/>
  <c r="B57" i="5"/>
  <c r="B56" i="5"/>
  <c r="B55" i="5"/>
  <c r="B54" i="5"/>
  <c r="B53" i="5"/>
  <c r="B52" i="5"/>
  <c r="B51" i="5"/>
  <c r="B50" i="5"/>
  <c r="B49" i="5"/>
  <c r="B48" i="5"/>
  <c r="B47" i="5"/>
  <c r="B46" i="5"/>
  <c r="B45" i="5"/>
  <c r="B44" i="5"/>
  <c r="B43" i="5"/>
  <c r="B42" i="5"/>
  <c r="B41" i="5"/>
  <c r="B40" i="5"/>
  <c r="B39" i="5"/>
  <c r="B38" i="5"/>
  <c r="B37" i="5"/>
  <c r="B36" i="5"/>
  <c r="B35" i="5"/>
  <c r="B34" i="5"/>
  <c r="B33" i="5"/>
  <c r="B32" i="5"/>
  <c r="B31" i="5"/>
  <c r="B30" i="5"/>
  <c r="B29" i="5"/>
  <c r="B28" i="5"/>
  <c r="B27" i="5"/>
  <c r="C21" i="5"/>
  <c r="C20" i="5"/>
  <c r="C19" i="5"/>
  <c r="C18" i="5"/>
  <c r="C16" i="5"/>
  <c r="C17" i="5" s="1"/>
  <c r="E34" i="6" l="1"/>
  <c r="E33" i="6"/>
  <c r="E32" i="6"/>
  <c r="E31" i="6"/>
  <c r="E29" i="6"/>
  <c r="E28" i="6"/>
  <c r="E27" i="6"/>
  <c r="E19" i="6"/>
  <c r="E17" i="6"/>
  <c r="E16" i="6"/>
  <c r="E12" i="6"/>
  <c r="E24" i="6"/>
  <c r="E21" i="6"/>
  <c r="E20" i="6"/>
  <c r="E30" i="6"/>
  <c r="E25" i="6"/>
  <c r="E23" i="6"/>
  <c r="E15" i="6"/>
  <c r="E14" i="6"/>
  <c r="E22" i="6"/>
  <c r="E13" i="6"/>
  <c r="E26" i="6"/>
  <c r="E18" i="6"/>
  <c r="D11" i="6"/>
  <c r="F11" i="6" s="1"/>
  <c r="C12" i="6" s="1"/>
  <c r="C20" i="4"/>
  <c r="C17" i="4"/>
  <c r="C18" i="4"/>
  <c r="C19" i="4"/>
  <c r="D23" i="4" s="1"/>
  <c r="C28" i="4"/>
  <c r="C22" i="2"/>
  <c r="C20" i="2"/>
  <c r="C15" i="2"/>
  <c r="C22" i="5"/>
  <c r="C23" i="5" s="1"/>
  <c r="C27" i="5"/>
  <c r="C21" i="2" l="1"/>
  <c r="C24" i="2"/>
  <c r="G11" i="6"/>
  <c r="D12" i="6"/>
  <c r="D28" i="4"/>
  <c r="D27" i="5"/>
  <c r="E35" i="6"/>
  <c r="E27" i="5" l="1"/>
  <c r="G12" i="6"/>
  <c r="F12" i="6"/>
  <c r="C13" i="6" s="1"/>
  <c r="E28" i="4"/>
  <c r="G27" i="5" l="1"/>
  <c r="F27" i="5"/>
  <c r="C28" i="5" s="1"/>
  <c r="G28" i="4"/>
  <c r="F28" i="4"/>
  <c r="C29" i="4" s="1"/>
  <c r="D29" i="4" s="1"/>
  <c r="D13" i="6"/>
  <c r="F13" i="6" s="1"/>
  <c r="C14" i="6" s="1"/>
  <c r="D28" i="5" l="1"/>
  <c r="G13" i="6"/>
  <c r="D14" i="6"/>
  <c r="E29" i="4"/>
  <c r="E28" i="5" l="1"/>
  <c r="G29" i="4"/>
  <c r="F29" i="4"/>
  <c r="C30" i="4" s="1"/>
  <c r="D30" i="4" s="1"/>
  <c r="G14" i="6"/>
  <c r="F14" i="6"/>
  <c r="C15" i="6" s="1"/>
  <c r="G28" i="5" l="1"/>
  <c r="F28" i="5"/>
  <c r="C29" i="5" s="1"/>
  <c r="D29" i="5" s="1"/>
  <c r="E30" i="4"/>
  <c r="D15" i="6"/>
  <c r="E29" i="5" l="1"/>
  <c r="G30" i="4"/>
  <c r="F30" i="4"/>
  <c r="C31" i="4" s="1"/>
  <c r="D31" i="4" s="1"/>
  <c r="G15" i="6"/>
  <c r="F15" i="6"/>
  <c r="C16" i="6" s="1"/>
  <c r="G29" i="5" l="1"/>
  <c r="F29" i="5"/>
  <c r="C30" i="5" s="1"/>
  <c r="E31" i="4"/>
  <c r="G31" i="4" s="1"/>
  <c r="F31" i="4"/>
  <c r="C32" i="4" s="1"/>
  <c r="D32" i="4" s="1"/>
  <c r="D16" i="6"/>
  <c r="D30" i="5" l="1"/>
  <c r="E32" i="4"/>
  <c r="G16" i="6"/>
  <c r="F16" i="6"/>
  <c r="C17" i="6" s="1"/>
  <c r="G32" i="4" l="1"/>
  <c r="F32" i="4"/>
  <c r="C33" i="4" s="1"/>
  <c r="D33" i="4" s="1"/>
  <c r="E30" i="5"/>
  <c r="D17" i="6"/>
  <c r="G30" i="5" l="1"/>
  <c r="F30" i="5"/>
  <c r="C31" i="5" s="1"/>
  <c r="E33" i="4"/>
  <c r="G17" i="6"/>
  <c r="F17" i="6"/>
  <c r="C18" i="6" s="1"/>
  <c r="D31" i="5" l="1"/>
  <c r="E31" i="5" s="1"/>
  <c r="G31" i="5" s="1"/>
  <c r="G33" i="4"/>
  <c r="F33" i="4"/>
  <c r="C34" i="4" s="1"/>
  <c r="D34" i="4" s="1"/>
  <c r="D18" i="6"/>
  <c r="G18" i="6" l="1"/>
  <c r="F18" i="6"/>
  <c r="C19" i="6" s="1"/>
  <c r="F31" i="5"/>
  <c r="C32" i="5" s="1"/>
  <c r="D32" i="5" s="1"/>
  <c r="E32" i="5" s="1"/>
  <c r="E34" i="4"/>
  <c r="D19" i="6"/>
  <c r="G34" i="4" l="1"/>
  <c r="F34" i="4"/>
  <c r="C35" i="4" s="1"/>
  <c r="D35" i="4" s="1"/>
  <c r="F32" i="5"/>
  <c r="C33" i="5" s="1"/>
  <c r="G32" i="5"/>
  <c r="G19" i="6"/>
  <c r="F19" i="6"/>
  <c r="C20" i="6" s="1"/>
  <c r="D33" i="5" l="1"/>
  <c r="E35" i="4"/>
  <c r="G35" i="4" s="1"/>
  <c r="F35" i="4"/>
  <c r="C36" i="4" s="1"/>
  <c r="D20" i="6"/>
  <c r="E33" i="5" l="1"/>
  <c r="D36" i="4"/>
  <c r="E36" i="4" s="1"/>
  <c r="G20" i="6"/>
  <c r="F20" i="6"/>
  <c r="C21" i="6" s="1"/>
  <c r="G33" i="5" l="1"/>
  <c r="F33" i="5"/>
  <c r="C34" i="5" s="1"/>
  <c r="G36" i="4"/>
  <c r="F36" i="4"/>
  <c r="C37" i="4" s="1"/>
  <c r="D21" i="6"/>
  <c r="D34" i="5" l="1"/>
  <c r="E34" i="5" s="1"/>
  <c r="G34" i="5" s="1"/>
  <c r="D37" i="4"/>
  <c r="G21" i="6"/>
  <c r="F21" i="6"/>
  <c r="C22" i="6" s="1"/>
  <c r="E37" i="4" l="1"/>
  <c r="G37" i="4" s="1"/>
  <c r="F37" i="4"/>
  <c r="C38" i="4" s="1"/>
  <c r="F34" i="5"/>
  <c r="C35" i="5" s="1"/>
  <c r="D35" i="5" s="1"/>
  <c r="D22" i="6"/>
  <c r="D38" i="4" l="1"/>
  <c r="E35" i="5"/>
  <c r="G22" i="6"/>
  <c r="F22" i="6"/>
  <c r="C23" i="6" s="1"/>
  <c r="E38" i="4" l="1"/>
  <c r="G38" i="4" s="1"/>
  <c r="F38" i="4"/>
  <c r="C39" i="4" s="1"/>
  <c r="G35" i="5"/>
  <c r="F35" i="5"/>
  <c r="C36" i="5" s="1"/>
  <c r="D23" i="6"/>
  <c r="D39" i="4" l="1"/>
  <c r="D36" i="5"/>
  <c r="E36" i="5" s="1"/>
  <c r="G23" i="6"/>
  <c r="F23" i="6"/>
  <c r="C24" i="6" s="1"/>
  <c r="E39" i="4" l="1"/>
  <c r="G39" i="4" s="1"/>
  <c r="F39" i="4"/>
  <c r="G36" i="5"/>
  <c r="F36" i="5"/>
  <c r="C37" i="5" s="1"/>
  <c r="D24" i="6"/>
  <c r="D37" i="5" l="1"/>
  <c r="E37" i="5" s="1"/>
  <c r="G37" i="5" s="1"/>
  <c r="G24" i="6"/>
  <c r="F24" i="6"/>
  <c r="C25" i="6" s="1"/>
  <c r="F37" i="5" l="1"/>
  <c r="C38" i="5" s="1"/>
  <c r="D38" i="5" s="1"/>
  <c r="E38" i="5" s="1"/>
  <c r="D25" i="6"/>
  <c r="F38" i="5" l="1"/>
  <c r="C39" i="5" s="1"/>
  <c r="G38" i="5"/>
  <c r="G25" i="6"/>
  <c r="F25" i="6"/>
  <c r="C26" i="6" s="1"/>
  <c r="D39" i="5" l="1"/>
  <c r="D26" i="6"/>
  <c r="E39" i="5" l="1"/>
  <c r="G26" i="6"/>
  <c r="F26" i="6"/>
  <c r="C27" i="6" s="1"/>
  <c r="G39" i="5" l="1"/>
  <c r="F39" i="5"/>
  <c r="C40" i="5" s="1"/>
  <c r="D27" i="6"/>
  <c r="D40" i="5" l="1"/>
  <c r="G27" i="6"/>
  <c r="F27" i="6"/>
  <c r="C28" i="6" s="1"/>
  <c r="E40" i="5" l="1"/>
  <c r="D28" i="6"/>
  <c r="G40" i="5" l="1"/>
  <c r="F40" i="5"/>
  <c r="C41" i="5" s="1"/>
  <c r="D41" i="5" s="1"/>
  <c r="E41" i="5" s="1"/>
  <c r="G28" i="6"/>
  <c r="F28" i="6"/>
  <c r="C29" i="6" s="1"/>
  <c r="G41" i="5" l="1"/>
  <c r="F41" i="5"/>
  <c r="C42" i="5" s="1"/>
  <c r="D29" i="6"/>
  <c r="D42" i="5" l="1"/>
  <c r="G29" i="6"/>
  <c r="F29" i="6"/>
  <c r="C30" i="6" s="1"/>
  <c r="E42" i="5" l="1"/>
  <c r="D30" i="6"/>
  <c r="G42" i="5" l="1"/>
  <c r="F42" i="5"/>
  <c r="C43" i="5" s="1"/>
  <c r="G30" i="6"/>
  <c r="F30" i="6"/>
  <c r="C31" i="6" s="1"/>
  <c r="D43" i="5" l="1"/>
  <c r="D31" i="6"/>
  <c r="E43" i="5" l="1"/>
  <c r="G31" i="6"/>
  <c r="F31" i="6"/>
  <c r="C32" i="6" s="1"/>
  <c r="G43" i="5" l="1"/>
  <c r="F43" i="5"/>
  <c r="C44" i="5" s="1"/>
  <c r="D44" i="5" s="1"/>
  <c r="D32" i="6"/>
  <c r="E44" i="5" l="1"/>
  <c r="G32" i="6"/>
  <c r="F32" i="6"/>
  <c r="C33" i="6" s="1"/>
  <c r="G44" i="5" l="1"/>
  <c r="F44" i="5"/>
  <c r="C45" i="5" s="1"/>
  <c r="D45" i="5" s="1"/>
  <c r="E45" i="5" s="1"/>
  <c r="D33" i="6"/>
  <c r="G45" i="5" l="1"/>
  <c r="F45" i="5"/>
  <c r="C46" i="5" s="1"/>
  <c r="G33" i="6"/>
  <c r="F33" i="6"/>
  <c r="C34" i="6" s="1"/>
  <c r="D46" i="5" l="1"/>
  <c r="E46" i="5" s="1"/>
  <c r="G46" i="5" s="1"/>
  <c r="D34" i="6"/>
  <c r="F34" i="6" s="1"/>
  <c r="F35" i="6" s="1"/>
  <c r="F46" i="5" l="1"/>
  <c r="C47" i="5" s="1"/>
  <c r="G34" i="6"/>
  <c r="G35" i="6" s="1"/>
  <c r="D35" i="6"/>
  <c r="D47" i="5" l="1"/>
  <c r="E47" i="5" s="1"/>
  <c r="F47" i="5" l="1"/>
  <c r="C48" i="5" s="1"/>
  <c r="D48" i="5" s="1"/>
  <c r="G47" i="5"/>
  <c r="E48" i="5" l="1"/>
  <c r="G48" i="5" l="1"/>
  <c r="F48" i="5"/>
  <c r="C49" i="5" s="1"/>
  <c r="D49" i="5" l="1"/>
  <c r="E49" i="5" l="1"/>
  <c r="G49" i="5" l="1"/>
  <c r="F49" i="5"/>
  <c r="C50" i="5" s="1"/>
  <c r="D50" i="5" s="1"/>
  <c r="E50" i="5" s="1"/>
  <c r="G50" i="5" l="1"/>
  <c r="F50" i="5"/>
  <c r="C51" i="5" s="1"/>
  <c r="D51" i="5" l="1"/>
  <c r="E51" i="5" l="1"/>
  <c r="G51" i="5" l="1"/>
  <c r="F51" i="5"/>
  <c r="C52" i="5" s="1"/>
  <c r="D52" i="5" l="1"/>
  <c r="E52" i="5" s="1"/>
  <c r="F52" i="5" l="1"/>
  <c r="C53" i="5" s="1"/>
  <c r="G52" i="5"/>
  <c r="D53" i="5" l="1"/>
  <c r="E53" i="5" l="1"/>
  <c r="G53" i="5" l="1"/>
  <c r="F53" i="5"/>
  <c r="C54" i="5" s="1"/>
  <c r="D54" i="5" l="1"/>
  <c r="E54" i="5" s="1"/>
  <c r="G54" i="5" l="1"/>
  <c r="F54" i="5"/>
  <c r="C55" i="5" s="1"/>
  <c r="D55" i="5" l="1"/>
  <c r="E55" i="5" l="1"/>
  <c r="G55" i="5" l="1"/>
  <c r="F55" i="5"/>
  <c r="C56" i="5" s="1"/>
  <c r="D56" i="5" l="1"/>
  <c r="E56" i="5" l="1"/>
  <c r="G56" i="5" l="1"/>
  <c r="F56" i="5"/>
  <c r="C57" i="5" s="1"/>
  <c r="D57" i="5" s="1"/>
  <c r="E57" i="5" l="1"/>
  <c r="G57" i="5" l="1"/>
  <c r="F57" i="5"/>
  <c r="C58" i="5" s="1"/>
  <c r="D58" i="5" s="1"/>
  <c r="E58" i="5" l="1"/>
  <c r="G58" i="5" l="1"/>
  <c r="F58" i="5"/>
  <c r="C59" i="5" s="1"/>
  <c r="D59" i="5" l="1"/>
  <c r="E59" i="5" s="1"/>
  <c r="G59" i="5" l="1"/>
  <c r="F59" i="5"/>
  <c r="C60" i="5" s="1"/>
  <c r="D60" i="5" s="1"/>
  <c r="E60" i="5" l="1"/>
  <c r="G60" i="5" l="1"/>
  <c r="F60" i="5"/>
  <c r="C61" i="5" s="1"/>
  <c r="D61" i="5" l="1"/>
  <c r="E61" i="5" s="1"/>
  <c r="F61" i="5" l="1"/>
  <c r="C62" i="5" s="1"/>
  <c r="G61" i="5"/>
  <c r="D62" i="5" l="1"/>
  <c r="E62" i="5" l="1"/>
  <c r="G62" i="5" l="1"/>
  <c r="F62" i="5"/>
</calcChain>
</file>

<file path=xl/sharedStrings.xml><?xml version="1.0" encoding="utf-8"?>
<sst xmlns="http://schemas.openxmlformats.org/spreadsheetml/2006/main" count="275" uniqueCount="202">
  <si>
    <t>CompoundFlow · Withdrawal B — Scheduled Partial Withdrawals</t>
  </si>
  <si>
    <t>CompoundFlow  ·  Educational purposes only — not financial advice.</t>
  </si>
  <si>
    <t>Compound until a start date, then take fixed withdrawals at chosen frequency. Balance keeps compounding on remaining funds. Warns if balance will run out.</t>
  </si>
  <si>
    <t>▌ INPUTS</t>
  </si>
  <si>
    <t>Principal ($)</t>
  </si>
  <si>
    <t>Starting investment</t>
  </si>
  <si>
    <t>Daily Rate (decimal: 0.0035 = 0.35%)</t>
  </si>
  <si>
    <t>e.g. 0.0035 for 0.35%</t>
  </si>
  <si>
    <t>Compounding Start Date</t>
  </si>
  <si>
    <t>Date investment starts</t>
  </si>
  <si>
    <t>Withdrawal Start Date</t>
  </si>
  <si>
    <t>Date withdrawals begin</t>
  </si>
  <si>
    <t>Withdrawal Amount ($ per period)</t>
  </si>
  <si>
    <t>Fixed dollar amount each period</t>
  </si>
  <si>
    <t>Withdrawal Frequency</t>
  </si>
  <si>
    <t>Monthly</t>
  </si>
  <si>
    <t>Type: Daily / Weekly / Monthly / Annually</t>
  </si>
  <si>
    <t>Number of Periods to Model</t>
  </si>
  <si>
    <t>Max 36</t>
  </si>
  <si>
    <t>▌ CALCULATED FIELDS</t>
  </si>
  <si>
    <t>Compounding Days</t>
  </si>
  <si>
    <t>Balance on Withdrawal Date</t>
  </si>
  <si>
    <t>APY</t>
  </si>
  <si>
    <t>Days per Period</t>
  </si>
  <si>
    <t>Growth Rate per Period</t>
  </si>
  <si>
    <t>Total Withdrawn</t>
  </si>
  <si>
    <t>Estimated Final Balance</t>
  </si>
  <si>
    <t>Balance Exhausted?</t>
  </si>
  <si>
    <t>▌ WITHDRAWAL SCHEDULE (up to 36 periods)</t>
  </si>
  <si>
    <t>Period</t>
  </si>
  <si>
    <t>Start Balance</t>
  </si>
  <si>
    <t>Interest Earned</t>
  </si>
  <si>
    <t>Withdrawal</t>
  </si>
  <si>
    <t>End Balance</t>
  </si>
  <si>
    <t>Cumul. Withdrawn</t>
  </si>
  <si>
    <t>⚠ IMPORTANT — PLEASE READ CAREFULLY The information and calculations contained in this spreadsheet are believed to be reliable but NO representations or warranties of any kind are made as to the accuracy, completeness, timeliness, or fitness for any particular purpose of these calculations, formulas, projections, or any associated website, application, or tool. Results may contain errors. All projections are hypothetical mathematical models only and actual results will vary — potentially materially. Past performance of any platform, investment, or trading bot does not guarantee future results. Participation in AI trading platforms or cryptocurrency investments involves substantial risk including the complete loss of principal. These tools are not FDIC insured, not bank guaranteed, and not regulated financial products. Nothing herein constitutes financial, legal, tax, or investment advice. Only invest funds you are fully prepared to lose entirely. CONFIDENTIALITY NOTICE: This spreadsheet is intended solely for the personal use of the recipient. It may NOT be copied, forwarded, shared, distributed, published, posted, or transmitted to any third party in any form — electronically or otherwise — without express written permission. Unauthorized use, sharing, or distribution is strictly prohibited. Consult a licensed financial professional before making any investment decisions.</t>
  </si>
  <si>
    <t>CompoundFlow · How to Use This Spreadsheet</t>
  </si>
  <si>
    <t>▌ WELCOME — READ THIS FIRST</t>
  </si>
  <si>
    <t>This spreadsheet models the math of daily compounding. It is a calculator — not a guarantee. The numbers show what COULD happen if a platform delivers a consistent daily rate. Real platforms vary. Some days are higher, some lower, and some platforms stop paying entirely. Use this to understand the math, set expectations, and plan your strategy — not as a promise of returns.</t>
  </si>
  <si>
    <t>▌ COLOR KEY — WHAT THE COLORS MEAN</t>
  </si>
  <si>
    <t>██</t>
  </si>
  <si>
    <t>BLUE cell with blue text = INPUT — these are the only cells you should type in</t>
  </si>
  <si>
    <t>White/muted text = FORMULA — calculated automatically, do not type here</t>
  </si>
  <si>
    <t>Green text = Interest earned or positive growth result</t>
  </si>
  <si>
    <t>Light blue text = Future value or balance result</t>
  </si>
  <si>
    <t>Amber/gold text = Total growth percentage</t>
  </si>
  <si>
    <t>Red text = Withdrawals or money leaving the account</t>
  </si>
  <si>
    <t>▌ TAB 1: GROWTH CALCULATOR — Step by Step</t>
  </si>
  <si>
    <t>1</t>
  </si>
  <si>
    <t>Enter Principal</t>
  </si>
  <si>
    <t>Click the blue cell next to 'Principal Amount ($)' and type your starting investment amount. Example: type 1000 for $1,000. Do not type the $ sign.</t>
  </si>
  <si>
    <t>2</t>
  </si>
  <si>
    <t>Enter Daily Rate</t>
  </si>
  <si>
    <t>Type your platform's daily rate AS A DECIMAL. This is the most important step to get right. 0.35% daily = type 0.0035 | 0.75% daily = type 0.0075 | 1.0% daily = type 0.01 | 1.5% daily = type 0.015. The APY will calculate automatically so you can see the annual equivalent.</t>
  </si>
  <si>
    <t>3</t>
  </si>
  <si>
    <t>Enter Time Period</t>
  </si>
  <si>
    <t>Type how many years, months, and/or days you want to model. You can use any combination — e.g. 1 year = type 1 in Years. 6 months = type 6 in Months. 90 days = type 90 in Days.</t>
  </si>
  <si>
    <t>4</t>
  </si>
  <si>
    <t>Enter Start Date (optional)</t>
  </si>
  <si>
    <t>Click the Start Date cell and type a date in MM/DD/YYYY format — for example 04/19/2026. This will calculate your End Date automatically. You can leave it blank if you don't need dates.</t>
  </si>
  <si>
    <t>5</t>
  </si>
  <si>
    <t>Monthly Contributions (optional)</t>
  </si>
  <si>
    <t>If you plan to add money regularly, type that amount. If not, type 0 or leave it blank.</t>
  </si>
  <si>
    <t>6</t>
  </si>
  <si>
    <t>Read Your Results</t>
  </si>
  <si>
    <t>The RESULTS section calculates automatically. Future Value = what your investment grows to. Interest Earned = profit above your original investment. Total Growth % = overall return.</t>
  </si>
  <si>
    <t>7</t>
  </si>
  <si>
    <t>Use the Interest Snapshot</t>
  </si>
  <si>
    <t>Scroll down to INTEREST SNAPSHOT. Type a day number (try 30, 60, 90, or 365) in the blue Snapshot Day cell. It instantly shows your balance AND your daily / weekly / monthly / annual earnings at exactly that point. This helps you see when your monthly interest will match or exceed your original deposit.</t>
  </si>
  <si>
    <t>8</t>
  </si>
  <si>
    <t>Check the Monthly Schedule</t>
  </si>
  <si>
    <t>Go to the Monthly Schedule tab (last tab) to see a full month-by-month breakdown of your balance growing over 24 months. It links automatically from your Growth Calculator inputs — you don't need to enter anything there.</t>
  </si>
  <si>
    <t>💡 GOLDEN RULE: Only edit cells that are BLUE. If a cell shows a number but has dark background and is NOT blue, it's a formula — leave it alone. If you accidentally type in a formula cell, press Ctrl+Z (Windows) or Cmd+Z (Mac) immediately to undo.</t>
  </si>
  <si>
    <t>▌ TAB 2: GOAL SEEK — Find Principal Needed</t>
  </si>
  <si>
    <t>Enter Target Income</t>
  </si>
  <si>
    <t>Type the monthly dollar amount you WANT to earn. Example: type 5000 for $5,000/month.</t>
  </si>
  <si>
    <t>Same as the Growth Calculator — enter your platform's daily rate as a decimal (0.0035 = 0.35%).</t>
  </si>
  <si>
    <t>Read the Answer</t>
  </si>
  <si>
    <t>'Principal Required' shows exactly how much you'd need invested to earn that monthly income indefinitely — with your original investment staying intact and continuing to compound. The Rate Sensitivity Table below shows how much principal you'd need at different daily rates.</t>
  </si>
  <si>
    <t>💡 The Goal Seek tab assumes you only withdraw the interest — not the principal. Your principal stays invested and keeps compounding. This is the 'profit taking the interest' model.</t>
  </si>
  <si>
    <t>▌ TAB 3: WITHDRAWAL — PROFIT TAKING (Profit Taking)</t>
  </si>
  <si>
    <t>Enter Principal &amp; Rate</t>
  </si>
  <si>
    <t>Type your investment amount and daily rate (as decimal) in the blue cells — same as Growth Calculator.</t>
  </si>
  <si>
    <t>Enter Compounding Start Date</t>
  </si>
  <si>
    <t>Type the date your investment starts earning — MM/DD/YYYY format. Example: 04/19/2026.</t>
  </si>
  <si>
    <t>Enter Withdrawal Start Date</t>
  </si>
  <si>
    <t>Type the date you want to START taking payments. The spreadsheet will calculate how many days of compounding happen between your start date and this date, and what your balance will be.</t>
  </si>
  <si>
    <t>Choose Withdrawal Frequency</t>
  </si>
  <si>
    <t>In the blue Withdrawal Frequency cell, type one of these exactly: Daily / Weekly / Monthly / Annually. The 'Selected Payment' box will show your payment amount for that frequency.</t>
  </si>
  <si>
    <t>Read the Schedule</t>
  </si>
  <si>
    <t>The 12-period schedule below shows each payment period — your starting balance, interest earned, payment taken out, and remaining balance. Your principal never decreases in this mode.</t>
  </si>
  <si>
    <t>💡 STRATEGY: In Profit Taking mode your principal stays fully invested. You're only withdrawing the interest it earns. This is sustainable as long as the platform keeps paying. Use this tab to plan your income once you've decided when to start taking payments.</t>
  </si>
  <si>
    <t>▌ TAB 4: WITHDRAWAL — SCHEDULED PARTIAL</t>
  </si>
  <si>
    <t>Enter Principal, Rate, Dates</t>
  </si>
  <si>
    <t>Same process as Profit Taking tab — enter principal, daily rate, compounding start date, and withdrawal start date.</t>
  </si>
  <si>
    <t>Enter Withdrawal Amount</t>
  </si>
  <si>
    <t>Type the fixed dollar amount you want to withdraw each period. Example: type 500 to take $500 each month.</t>
  </si>
  <si>
    <t>Set Frequency &amp; Periods</t>
  </si>
  <si>
    <t>Type the frequency (Daily / Weekly / Monthly / Annually) and how many periods to model (up to 36). The schedule will only show rows up to the number you enter.</t>
  </si>
  <si>
    <t>Watch the Balance Warning</t>
  </si>
  <si>
    <t>If your withdrawal amount is too high relative to your compounding returns, the 'Balance Exhausted?' row will show a red warning. This means you'll drain the account before the end of the model period. Reduce your withdrawal amount or shorten the number of periods to fix it.</t>
  </si>
  <si>
    <t>💡 KEY DIFFERENCE: Scheduled Partial withdrawals take a fixed dollar amount — which may be MORE or LESS than the interest earned that period. If you withdraw more than the interest, your balance shrinks over time. If less, it keeps growing.</t>
  </si>
  <si>
    <t>▌ COMMON MISTAKES TO AVOID</t>
  </si>
  <si>
    <t>✗</t>
  </si>
  <si>
    <t>Wrong daily rate entry</t>
  </si>
  <si>
    <t>The #1 mistake. If your platform says '0.35% daily' — type 0.0035 not 0.35. Entering 0.35 tells the spreadsheet your rate is 35% per day which is almost certainly wrong and will show absurd numbers.</t>
  </si>
  <si>
    <t>Editing formula cells</t>
  </si>
  <si>
    <t>If you click a dark cell (not blue) and start typing, you'll overwrite the formula. Press Ctrl+Z (Windows) or Cmd+Z (Mac) immediately to undo. If the cell now shows a number instead of a formula, undo again.</t>
  </si>
  <si>
    <t>Expecting exact results</t>
  </si>
  <si>
    <t>These are mathematical models assuming a constant daily rate. Your actual platform returns will vary day to day. Use the numbers for planning — not as a guarantee of what you'll receive.</t>
  </si>
  <si>
    <t>Skipping the exit plan</t>
  </si>
  <si>
    <t>Many investors focus only on the growth numbers and forget to plan when and how they'll take money out. Decide your withdrawal strategy BEFORE you invest — see the Profit Taking tab.</t>
  </si>
  <si>
    <t>▌ OPENING THIS FILE — Excel, Google Sheets, Apple Numbers</t>
  </si>
  <si>
    <t>▶</t>
  </si>
  <si>
    <t>Excel (Windows/Mac)</t>
  </si>
  <si>
    <t>Double-click the .xlsx file. It opens directly. All formulas work. If prompted about macros or external links, click 'Enable' or 'Update'.</t>
  </si>
  <si>
    <t>Google Sheets</t>
  </si>
  <si>
    <t>Go to drive.google.com → click + New → File Upload → select the .xlsx file. Once uploaded, right-click it → Open with → Google Sheets. All formulas convert automatically. To save permanently: File → Save as Google Sheets.</t>
  </si>
  <si>
    <t>Apple Numbers (iPhone/iPad)</t>
  </si>
  <si>
    <t>Tap the .xlsx file → tap 'Open in Numbers'. On Mac, double-click and it opens in Numbers automatically. To save as a Numbers file: File → Export To → Numbers.</t>
  </si>
  <si>
    <t>Mobile tip</t>
  </si>
  <si>
    <t>On phones, the spreadsheet works best in landscape mode. Pinch to zoom in on the input cells. Blue cells are the only ones you need to tap and edit.</t>
  </si>
  <si>
    <t>CompoundFlow · Daily Compound Growth Calculator</t>
  </si>
  <si>
    <t>▌ INPUTS — Edit the blue cells</t>
  </si>
  <si>
    <t>Principal Amount ($)</t>
  </si>
  <si>
    <t>Your starting investment</t>
  </si>
  <si>
    <t>e.g. 0.0035 for 0.35% · 0.0075 for 0.75%</t>
  </si>
  <si>
    <t>Years</t>
  </si>
  <si>
    <t>Months</t>
  </si>
  <si>
    <t>0–11</t>
  </si>
  <si>
    <t>Days</t>
  </si>
  <si>
    <t>0–30</t>
  </si>
  <si>
    <t>Start Date</t>
  </si>
  <si>
    <t>Date investment begins</t>
  </si>
  <si>
    <t>Monthly Contributions ($)</t>
  </si>
  <si>
    <t>Optional — enter 0 if none</t>
  </si>
  <si>
    <t>Total Days</t>
  </si>
  <si>
    <t>End Date</t>
  </si>
  <si>
    <t>APY (from daily rate)</t>
  </si>
  <si>
    <t>Monthly Rate</t>
  </si>
  <si>
    <t>▌ RESULTS</t>
  </si>
  <si>
    <t>Future Value</t>
  </si>
  <si>
    <t>Net Contributions</t>
  </si>
  <si>
    <t>Principal</t>
  </si>
  <si>
    <t>Total Growth %</t>
  </si>
  <si>
    <t>▌ INTEREST SNAPSHOT — See your earnings at any specific point in time</t>
  </si>
  <si>
    <t>Enter a day number below (e.g. 30, 60, 90, 180, 365) to see your balance and interest earnings at that exact point.</t>
  </si>
  <si>
    <t>Snapshot Day</t>
  </si>
  <si>
    <t>Try: 30 · 60 · 90 · 180 · 365</t>
  </si>
  <si>
    <t>SNAPSHOT RESULTS</t>
  </si>
  <si>
    <t>Balance at Snapshot Day</t>
  </si>
  <si>
    <t>Daily Interest at That Point</t>
  </si>
  <si>
    <t>Interest earned on a single day at this balance</t>
  </si>
  <si>
    <t>Weekly Interest at That Point</t>
  </si>
  <si>
    <t>7-day interest at this balance</t>
  </si>
  <si>
    <t>Monthly Interest at That Point</t>
  </si>
  <si>
    <t>30-day interest at this balance</t>
  </si>
  <si>
    <t>Annual Income at That Point</t>
  </si>
  <si>
    <t>APY at Entry Rate</t>
  </si>
  <si>
    <t>Your annual percentage yield — same throughout</t>
  </si>
  <si>
    <t>💡 STRATEGY TIP: Consider targeting Day 60–90 as your first milestone — compare your monthly interest at that point to your original deposit. If they're close, you're on track to recover your principal in interest alone. Define your withdrawal plan before you invest.</t>
  </si>
  <si>
    <t>▌ COLOR KEY</t>
  </si>
  <si>
    <t>Blue cell = Input — enter your values here</t>
  </si>
  <si>
    <t>Green = Interest earned / positive growth</t>
  </si>
  <si>
    <t>Light blue = Future value / balance result</t>
  </si>
  <si>
    <t>Amber/gold = Total growth %</t>
  </si>
  <si>
    <t>Red = Withdrawals / money leaving</t>
  </si>
  <si>
    <t>Muted = Formula cell — do not edit</t>
  </si>
  <si>
    <t>CompoundFlow · Goal Seek — How Much Principal Do I Need?</t>
  </si>
  <si>
    <t>Enter target monthly income + daily rate → calculates principal needed to sustain that income indefinitely with principal intact.</t>
  </si>
  <si>
    <t>Target Monthly Income ($)</t>
  </si>
  <si>
    <t>Monthly amount you want to earn</t>
  </si>
  <si>
    <t>Monthly Compound Rate (30-day)</t>
  </si>
  <si>
    <t>Principal Required</t>
  </si>
  <si>
    <t>Annual Income Generated</t>
  </si>
  <si>
    <t>Daily Interest on Principal</t>
  </si>
  <si>
    <t>▌ RATE SENSITIVITY TABLE</t>
  </si>
  <si>
    <t>Daily Rate</t>
  </si>
  <si>
    <t>Principal Needed</t>
  </si>
  <si>
    <t>CompoundFlow · Profit Taking</t>
  </si>
  <si>
    <t>Compound until your withdrawal start date, then collect interest payments at chosen frequency. Principal stays fully invested.</t>
  </si>
  <si>
    <t>Date investment starts earning</t>
  </si>
  <si>
    <t>Date you begin collecting payments</t>
  </si>
  <si>
    <t>Daily Payment</t>
  </si>
  <si>
    <t>Weekly Payment</t>
  </si>
  <si>
    <t>Monthly Payment</t>
  </si>
  <si>
    <t>Annual Payment</t>
  </si>
  <si>
    <t>▌ SELECTED PAYMENT (based on frequency)</t>
  </si>
  <si>
    <t>Your payment per period:</t>
  </si>
  <si>
    <t>Change cell C11 to Daily / Weekly / Monthly / Annually</t>
  </si>
  <si>
    <t>▌ 12-PERIOD SCHEDULE AFTER WITHDRAWAL START DATE</t>
  </si>
  <si>
    <t>Payment Out</t>
  </si>
  <si>
    <t>Cumul. Paid Out</t>
  </si>
  <si>
    <t>CompoundFlow · Monthly Amortization Schedule</t>
  </si>
  <si>
    <t>▌ INPUTS (linked from Growth Calculator — do not edit here)</t>
  </si>
  <si>
    <t>Monthly Contrib.</t>
  </si>
  <si>
    <t>Month</t>
  </si>
  <si>
    <t>Contribution</t>
  </si>
  <si>
    <t>Cumul. Interest</t>
  </si>
  <si>
    <t>TOTALS</t>
  </si>
  <si>
    <t>Monthly Profit</t>
  </si>
  <si>
    <t>Annual Profit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</si>
</sst>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
    <numFmt numFmtId="165" formatCode="0.0000%"/>
    <numFmt numFmtId="166" formatCode="mm/dd/yyyy"/>
    <numFmt numFmtId="167" formatCode="0.000%"/>
    <numFmt numFmtId="168" formatCode="\$#,##0"/>
    <numFmt numFmtId="169" formatCode="0\ &quot;days&quot;"/>
  </numFmts>
  <fonts count="49" x14ac:knownFonts="1">
    <font>
      <sz val="11"/>
      <color theme="1"/>
      <name val="Calibri"/>
      <family val="2"/>
      <scheme val="minor"/>
    </font>
    <font>
      <b/>
      <sz val="15"/>
      <color rgb="FFF8FAFC"/>
      <name val="Calibri"/>
    </font>
    <font>
      <i/>
      <sz val="10"/>
      <color rgb="FF94A3B8"/>
      <name val="Calibri"/>
    </font>
    <font>
      <b/>
      <sz val="11"/>
      <color rgb="FF60A5FA"/>
      <name val="Calibri"/>
    </font>
    <font>
      <sz val="12"/>
      <color rgb="FF94A3B8"/>
      <name val="Calibri"/>
    </font>
    <font>
      <b/>
      <sz val="13"/>
      <color rgb="FF93C5FD"/>
      <name val="Calibri"/>
    </font>
    <font>
      <i/>
      <sz val="10"/>
      <color rgb="FF64748B"/>
      <name val="Calibri"/>
    </font>
    <font>
      <sz val="12"/>
      <color rgb="FFF8FAFC"/>
      <name val="Calibri"/>
    </font>
    <font>
      <b/>
      <sz val="12"/>
      <color rgb="FF94A3B8"/>
      <name val="Calibri"/>
    </font>
    <font>
      <b/>
      <sz val="12"/>
      <color rgb="FF10B981"/>
      <name val="Calibri"/>
    </font>
    <font>
      <b/>
      <sz val="12"/>
      <color rgb="FF60A5FA"/>
      <name val="Calibri"/>
    </font>
    <font>
      <b/>
      <sz val="12"/>
      <color rgb="FFF59E0B"/>
      <name val="Calibri"/>
    </font>
    <font>
      <b/>
      <sz val="14"/>
      <color rgb="FF93C5FD"/>
      <name val="Calibri"/>
    </font>
    <font>
      <sz val="11"/>
      <color rgb="FF94A3B8"/>
      <name val="Calibri"/>
    </font>
    <font>
      <b/>
      <sz val="14"/>
      <color rgb="FF10B981"/>
      <name val="Calibri"/>
    </font>
    <font>
      <b/>
      <sz val="14"/>
      <color rgb="FF60A5FA"/>
      <name val="Calibri"/>
    </font>
    <font>
      <b/>
      <sz val="14"/>
      <color rgb="FFF59E0B"/>
      <name val="Calibri"/>
    </font>
    <font>
      <b/>
      <sz val="14"/>
      <color rgb="FFFCA5A5"/>
      <name val="Calibri"/>
    </font>
    <font>
      <b/>
      <sz val="14"/>
      <color rgb="FF94A3B8"/>
      <name val="Calibri"/>
    </font>
    <font>
      <i/>
      <sz val="9"/>
      <color rgb="FFFDE68A"/>
      <name val="Calibri"/>
    </font>
    <font>
      <i/>
      <sz val="11"/>
      <color rgb="FF94A3B8"/>
      <name val="Calibri"/>
    </font>
    <font>
      <b/>
      <sz val="11"/>
      <color rgb="FFF8FAFC"/>
      <name val="Calibri"/>
    </font>
    <font>
      <sz val="11"/>
      <color rgb="FF10B981"/>
      <name val="Calibri"/>
    </font>
    <font>
      <sz val="11"/>
      <color rgb="FF60A5FA"/>
      <name val="Calibri"/>
    </font>
    <font>
      <sz val="11"/>
      <color rgb="FFF8FAFC"/>
      <name val="Calibri"/>
    </font>
    <font>
      <sz val="12"/>
      <color rgb="FF10B981"/>
      <name val="Calibri"/>
    </font>
    <font>
      <b/>
      <sz val="13"/>
      <color rgb="FFF8FAFC"/>
      <name val="Calibri"/>
    </font>
    <font>
      <b/>
      <sz val="16"/>
      <color rgb="FF10B981"/>
      <name val="Calibri"/>
    </font>
    <font>
      <sz val="11"/>
      <color rgb="FFFCA5A5"/>
      <name val="Calibri"/>
    </font>
    <font>
      <b/>
      <sz val="12"/>
      <color rgb="FFFCA5A5"/>
      <name val="Calibri"/>
    </font>
    <font>
      <sz val="12"/>
      <color rgb="FF0EA5E9"/>
      <name val="Calibri"/>
    </font>
    <font>
      <b/>
      <sz val="12"/>
      <color rgb="FFF8FAFC"/>
      <name val="Calibri"/>
    </font>
    <font>
      <i/>
      <sz val="10"/>
      <color rgb="FFFDE68A"/>
      <name val="Calibri"/>
    </font>
    <font>
      <b/>
      <sz val="15"/>
      <color rgb="FFF8FAFC"/>
      <name val="Calibri"/>
    </font>
    <font>
      <b/>
      <sz val="12"/>
      <color rgb="FF60A5FA"/>
      <name val="Calibri"/>
    </font>
    <font>
      <i/>
      <sz val="11"/>
      <color rgb="FF94A3B8"/>
      <name val="Calibri"/>
    </font>
    <font>
      <b/>
      <sz val="14"/>
      <color rgb="FF93C5FD"/>
      <name val="Calibri"/>
    </font>
    <font>
      <sz val="11"/>
      <color rgb="FFF8FAFC"/>
      <name val="Calibri"/>
    </font>
    <font>
      <b/>
      <sz val="14"/>
      <color rgb="FFF8FAFC"/>
      <name val="Calibri"/>
    </font>
    <font>
      <b/>
      <sz val="14"/>
      <color rgb="FF10B981"/>
      <name val="Calibri"/>
    </font>
    <font>
      <b/>
      <sz val="14"/>
      <color rgb="FF60A5FA"/>
      <name val="Calibri"/>
    </font>
    <font>
      <b/>
      <sz val="14"/>
      <color rgb="FFF59E0B"/>
      <name val="Calibri"/>
    </font>
    <font>
      <b/>
      <sz val="14"/>
      <color rgb="FFFCA5A5"/>
      <name val="Calibri"/>
    </font>
    <font>
      <b/>
      <sz val="13"/>
      <color rgb="FFF8FAFC"/>
      <name val="Calibri"/>
    </font>
    <font>
      <i/>
      <sz val="10"/>
      <color rgb="FFFDE68A"/>
      <name val="Calibri"/>
    </font>
    <font>
      <b/>
      <sz val="12"/>
      <color rgb="FFFCA5A5"/>
      <name val="Calibri"/>
    </font>
    <font>
      <b/>
      <sz val="13"/>
      <color rgb="FF60A5FA"/>
      <name val="Calibri"/>
    </font>
    <font>
      <i/>
      <sz val="9"/>
      <color rgb="FFFDE68A"/>
      <name val="Calibri"/>
    </font>
    <font>
      <i/>
      <u/>
      <sz val="10"/>
      <color rgb="FF60A5FA"/>
      <name val="Calibri"/>
    </font>
  </fonts>
  <fills count="16">
    <fill>
      <patternFill patternType="none"/>
    </fill>
    <fill>
      <patternFill patternType="gray125"/>
    </fill>
    <fill>
      <patternFill patternType="solid">
        <fgColor rgb="FF0A0E1A"/>
      </patternFill>
    </fill>
    <fill>
      <patternFill patternType="solid">
        <fgColor rgb="FF111827"/>
      </patternFill>
    </fill>
    <fill>
      <patternFill patternType="solid">
        <fgColor rgb="FF0F172A"/>
      </patternFill>
    </fill>
    <fill>
      <patternFill patternType="solid">
        <fgColor rgb="FF1E3A5F"/>
      </patternFill>
    </fill>
    <fill>
      <patternFill patternType="solid">
        <fgColor rgb="FF1E293B"/>
      </patternFill>
    </fill>
    <fill>
      <patternFill patternType="solid">
        <fgColor rgb="FF1C1A0A"/>
      </patternFill>
    </fill>
    <fill>
      <patternFill patternType="solid">
        <fgColor rgb="FF1D4ED8"/>
      </patternFill>
    </fill>
    <fill>
      <patternFill patternType="solid">
        <fgColor rgb="FF111827"/>
      </patternFill>
    </fill>
    <fill>
      <patternFill patternType="solid">
        <fgColor rgb="FF0A0E1A"/>
      </patternFill>
    </fill>
    <fill>
      <patternFill patternType="solid">
        <fgColor rgb="FF0F172A"/>
      </patternFill>
    </fill>
    <fill>
      <patternFill patternType="solid">
        <fgColor rgb="FF1D4ED8"/>
      </patternFill>
    </fill>
    <fill>
      <patternFill patternType="solid">
        <fgColor rgb="FF1E293B"/>
      </patternFill>
    </fill>
    <fill>
      <patternFill patternType="solid">
        <fgColor rgb="FF1C1A0A"/>
      </patternFill>
    </fill>
    <fill>
      <patternFill patternType="solid">
        <fgColor rgb="FF000000"/>
        <bgColor indexed="64"/>
      </patternFill>
    </fill>
  </fills>
  <borders count="13">
    <border>
      <left/>
      <right/>
      <top/>
      <bottom/>
      <diagonal/>
    </border>
    <border>
      <left/>
      <right/>
      <top/>
      <bottom style="thin">
        <color rgb="FF1E293B"/>
      </bottom>
      <diagonal/>
    </border>
    <border>
      <left style="thin">
        <color rgb="FF1E293B"/>
      </left>
      <right style="thin">
        <color rgb="FF1E293B"/>
      </right>
      <top style="thin">
        <color rgb="FF1E293B"/>
      </top>
      <bottom style="thin">
        <color rgb="FF1E293B"/>
      </bottom>
      <diagonal/>
    </border>
    <border>
      <left style="medium">
        <color rgb="FFF59E0B"/>
      </left>
      <right style="thin">
        <color rgb="FF78350F"/>
      </right>
      <top style="thin">
        <color rgb="FF78350F"/>
      </top>
      <bottom style="thin">
        <color rgb="FF78350F"/>
      </bottom>
      <diagonal/>
    </border>
    <border>
      <left/>
      <right/>
      <top style="thin">
        <color rgb="FF78350F"/>
      </top>
      <bottom style="thin">
        <color rgb="FF78350F"/>
      </bottom>
      <diagonal/>
    </border>
    <border>
      <left/>
      <right style="thin">
        <color rgb="FF78350F"/>
      </right>
      <top style="thin">
        <color rgb="FF78350F"/>
      </top>
      <bottom style="thin">
        <color rgb="FF78350F"/>
      </bottom>
      <diagonal/>
    </border>
    <border>
      <left/>
      <right/>
      <top/>
      <bottom style="thin">
        <color rgb="FF1E293B"/>
      </bottom>
      <diagonal/>
    </border>
    <border>
      <left style="thin">
        <color rgb="FF1E293B"/>
      </left>
      <right style="thin">
        <color rgb="FF1E293B"/>
      </right>
      <top style="thin">
        <color rgb="FF1E293B"/>
      </top>
      <bottom style="thin">
        <color rgb="FF1E293B"/>
      </bottom>
      <diagonal/>
    </border>
    <border>
      <left style="medium">
        <color rgb="FFF59E0B"/>
      </left>
      <right style="thin">
        <color rgb="FF78350F"/>
      </right>
      <top style="thin">
        <color rgb="FF78350F"/>
      </top>
      <bottom style="thin">
        <color rgb="FF78350F"/>
      </bottom>
      <diagonal/>
    </border>
    <border>
      <left/>
      <right/>
      <top style="thin">
        <color rgb="FF1E293B"/>
      </top>
      <bottom style="thin">
        <color rgb="FF1E293B"/>
      </bottom>
      <diagonal/>
    </border>
    <border>
      <left/>
      <right style="thin">
        <color rgb="FF1E293B"/>
      </right>
      <top style="thin">
        <color rgb="FF1E293B"/>
      </top>
      <bottom style="thin">
        <color rgb="FF1E293B"/>
      </bottom>
      <diagonal/>
    </border>
    <border>
      <left/>
      <right/>
      <top style="thin">
        <color rgb="FF78350F"/>
      </top>
      <bottom style="thin">
        <color rgb="FF78350F"/>
      </bottom>
      <diagonal/>
    </border>
    <border>
      <left/>
      <right style="thin">
        <color rgb="FF78350F"/>
      </right>
      <top style="thin">
        <color rgb="FF78350F"/>
      </top>
      <bottom style="thin">
        <color rgb="FF78350F"/>
      </bottom>
      <diagonal/>
    </border>
  </borders>
  <cellStyleXfs count="1">
    <xf numFmtId="0" fontId="0" fillId="0" borderId="0"/>
  </cellStyleXfs>
  <cellXfs count="100">
    <xf numFmtId="0" fontId="0" fillId="0" borderId="0" xfId="0"/>
    <xf numFmtId="0" fontId="3" fillId="4" borderId="0" xfId="0" applyFont="1" applyFill="1" applyAlignment="1">
      <alignment horizontal="left" vertical="center" wrapText="1"/>
    </xf>
    <xf numFmtId="0" fontId="4" fillId="3" borderId="1" xfId="0" applyFont="1" applyFill="1" applyBorder="1" applyAlignment="1">
      <alignment horizontal="left" vertical="center" wrapText="1"/>
    </xf>
    <xf numFmtId="164" fontId="5" fillId="5" borderId="2" xfId="0" applyNumberFormat="1" applyFont="1" applyFill="1" applyBorder="1" applyAlignment="1">
      <alignment horizontal="right" vertical="center"/>
    </xf>
    <xf numFmtId="165" fontId="5" fillId="5" borderId="2" xfId="0" applyNumberFormat="1" applyFont="1" applyFill="1" applyBorder="1" applyAlignment="1">
      <alignment horizontal="right" vertical="center"/>
    </xf>
    <xf numFmtId="1" fontId="5" fillId="5" borderId="2" xfId="0" applyNumberFormat="1" applyFont="1" applyFill="1" applyBorder="1" applyAlignment="1">
      <alignment horizontal="right" vertical="center"/>
    </xf>
    <xf numFmtId="166" fontId="5" fillId="5" borderId="2" xfId="0" applyNumberFormat="1" applyFont="1" applyFill="1" applyBorder="1" applyAlignment="1">
      <alignment horizontal="right" vertical="center"/>
    </xf>
    <xf numFmtId="1" fontId="7" fillId="3" borderId="2" xfId="0" applyNumberFormat="1" applyFont="1" applyFill="1" applyBorder="1" applyAlignment="1">
      <alignment horizontal="right" vertical="center"/>
    </xf>
    <xf numFmtId="166" fontId="7" fillId="3" borderId="2" xfId="0" applyNumberFormat="1" applyFont="1" applyFill="1" applyBorder="1" applyAlignment="1">
      <alignment horizontal="right" vertical="center"/>
    </xf>
    <xf numFmtId="0" fontId="8" fillId="3" borderId="1" xfId="0" applyFont="1" applyFill="1" applyBorder="1" applyAlignment="1">
      <alignment horizontal="left" vertical="center" wrapText="1"/>
    </xf>
    <xf numFmtId="10" fontId="9" fillId="6" borderId="2" xfId="0" applyNumberFormat="1" applyFont="1" applyFill="1" applyBorder="1" applyAlignment="1">
      <alignment horizontal="right" vertical="center"/>
    </xf>
    <xf numFmtId="167" fontId="4" fillId="3" borderId="2" xfId="0" applyNumberFormat="1" applyFont="1" applyFill="1" applyBorder="1" applyAlignment="1">
      <alignment horizontal="right" vertical="center"/>
    </xf>
    <xf numFmtId="164" fontId="10" fillId="6" borderId="2" xfId="0" applyNumberFormat="1" applyFont="1" applyFill="1" applyBorder="1" applyAlignment="1">
      <alignment horizontal="right" vertical="center"/>
    </xf>
    <xf numFmtId="164" fontId="9" fillId="6" borderId="2" xfId="0" applyNumberFormat="1" applyFont="1" applyFill="1" applyBorder="1" applyAlignment="1">
      <alignment horizontal="right" vertical="center"/>
    </xf>
    <xf numFmtId="164" fontId="7" fillId="3" borderId="2" xfId="0" applyNumberFormat="1" applyFont="1" applyFill="1" applyBorder="1" applyAlignment="1">
      <alignment horizontal="right" vertical="center"/>
    </xf>
    <xf numFmtId="10" fontId="11" fillId="6" borderId="2" xfId="0" applyNumberFormat="1" applyFont="1" applyFill="1" applyBorder="1" applyAlignment="1">
      <alignment horizontal="right" vertical="center"/>
    </xf>
    <xf numFmtId="0" fontId="12" fillId="3" borderId="0" xfId="0" applyFont="1" applyFill="1"/>
    <xf numFmtId="0" fontId="13" fillId="3" borderId="0" xfId="0" applyFont="1" applyFill="1" applyAlignment="1">
      <alignment horizontal="left" vertical="center" wrapText="1"/>
    </xf>
    <xf numFmtId="0" fontId="14" fillId="3" borderId="0" xfId="0" applyFont="1" applyFill="1"/>
    <xf numFmtId="0" fontId="15" fillId="3" borderId="0" xfId="0" applyFont="1" applyFill="1"/>
    <xf numFmtId="0" fontId="16" fillId="3" borderId="0" xfId="0" applyFont="1" applyFill="1"/>
    <xf numFmtId="0" fontId="17" fillId="3" borderId="0" xfId="0" applyFont="1" applyFill="1"/>
    <xf numFmtId="0" fontId="18" fillId="3" borderId="0" xfId="0" applyFont="1" applyFill="1"/>
    <xf numFmtId="0" fontId="21" fillId="8" borderId="2" xfId="0" applyFont="1" applyFill="1" applyBorder="1" applyAlignment="1">
      <alignment horizontal="center" vertical="center" wrapText="1"/>
    </xf>
    <xf numFmtId="167" fontId="13" fillId="6" borderId="2" xfId="0" applyNumberFormat="1" applyFont="1" applyFill="1" applyBorder="1" applyAlignment="1">
      <alignment horizontal="center" vertical="center" wrapText="1"/>
    </xf>
    <xf numFmtId="10" fontId="22" fillId="6" borderId="2" xfId="0" applyNumberFormat="1" applyFont="1" applyFill="1" applyBorder="1" applyAlignment="1">
      <alignment horizontal="right" vertical="center"/>
    </xf>
    <xf numFmtId="168" fontId="23" fillId="6" borderId="2" xfId="0" applyNumberFormat="1" applyFont="1" applyFill="1" applyBorder="1" applyAlignment="1">
      <alignment horizontal="right" vertical="center"/>
    </xf>
    <xf numFmtId="164" fontId="24" fillId="6" borderId="2" xfId="0" applyNumberFormat="1" applyFont="1" applyFill="1" applyBorder="1" applyAlignment="1">
      <alignment horizontal="right" vertical="center"/>
    </xf>
    <xf numFmtId="164" fontId="22" fillId="6" borderId="2" xfId="0" applyNumberFormat="1" applyFont="1" applyFill="1" applyBorder="1" applyAlignment="1">
      <alignment horizontal="right" vertical="center"/>
    </xf>
    <xf numFmtId="167" fontId="13" fillId="3" borderId="2" xfId="0" applyNumberFormat="1" applyFont="1" applyFill="1" applyBorder="1" applyAlignment="1">
      <alignment horizontal="center" vertical="center" wrapText="1"/>
    </xf>
    <xf numFmtId="10" fontId="22" fillId="3" borderId="2" xfId="0" applyNumberFormat="1" applyFont="1" applyFill="1" applyBorder="1" applyAlignment="1">
      <alignment horizontal="right" vertical="center"/>
    </xf>
    <xf numFmtId="168" fontId="23" fillId="3" borderId="2" xfId="0" applyNumberFormat="1" applyFont="1" applyFill="1" applyBorder="1" applyAlignment="1">
      <alignment horizontal="right" vertical="center"/>
    </xf>
    <xf numFmtId="164" fontId="24" fillId="3" borderId="2" xfId="0" applyNumberFormat="1" applyFont="1" applyFill="1" applyBorder="1" applyAlignment="1">
      <alignment horizontal="right" vertical="center"/>
    </xf>
    <xf numFmtId="164" fontId="22" fillId="3" borderId="2" xfId="0" applyNumberFormat="1" applyFont="1" applyFill="1" applyBorder="1" applyAlignment="1">
      <alignment horizontal="right" vertical="center"/>
    </xf>
    <xf numFmtId="49" fontId="5" fillId="5" borderId="2" xfId="0" applyNumberFormat="1" applyFont="1" applyFill="1" applyBorder="1" applyAlignment="1">
      <alignment horizontal="right" vertical="center"/>
    </xf>
    <xf numFmtId="169" fontId="7" fillId="3" borderId="2" xfId="0" applyNumberFormat="1" applyFont="1" applyFill="1" applyBorder="1" applyAlignment="1">
      <alignment horizontal="right" vertical="center"/>
    </xf>
    <xf numFmtId="10" fontId="25" fillId="6" borderId="2" xfId="0" applyNumberFormat="1" applyFont="1" applyFill="1" applyBorder="1" applyAlignment="1">
      <alignment horizontal="right" vertical="center"/>
    </xf>
    <xf numFmtId="164" fontId="25" fillId="3" borderId="2" xfId="0" applyNumberFormat="1" applyFont="1" applyFill="1" applyBorder="1" applyAlignment="1">
      <alignment horizontal="right" vertical="center"/>
    </xf>
    <xf numFmtId="164" fontId="27" fillId="6" borderId="2" xfId="0" applyNumberFormat="1" applyFont="1" applyFill="1" applyBorder="1" applyAlignment="1">
      <alignment horizontal="right" vertical="center"/>
    </xf>
    <xf numFmtId="49" fontId="13" fillId="3" borderId="2" xfId="0" applyNumberFormat="1" applyFont="1" applyFill="1" applyBorder="1" applyAlignment="1">
      <alignment horizontal="left" vertical="center" wrapText="1"/>
    </xf>
    <xf numFmtId="164" fontId="28" fillId="3" borderId="2" xfId="0" applyNumberFormat="1" applyFont="1" applyFill="1" applyBorder="1" applyAlignment="1">
      <alignment horizontal="right" vertical="center"/>
    </xf>
    <xf numFmtId="164" fontId="23" fillId="3" borderId="2" xfId="0" applyNumberFormat="1" applyFont="1" applyFill="1" applyBorder="1" applyAlignment="1">
      <alignment horizontal="right" vertical="center"/>
    </xf>
    <xf numFmtId="49" fontId="13" fillId="6" borderId="2" xfId="0" applyNumberFormat="1" applyFont="1" applyFill="1" applyBorder="1" applyAlignment="1">
      <alignment horizontal="left" vertical="center" wrapText="1"/>
    </xf>
    <xf numFmtId="164" fontId="28" fillId="6" borderId="2" xfId="0" applyNumberFormat="1" applyFont="1" applyFill="1" applyBorder="1" applyAlignment="1">
      <alignment horizontal="right" vertical="center"/>
    </xf>
    <xf numFmtId="164" fontId="23" fillId="6" borderId="2" xfId="0" applyNumberFormat="1" applyFont="1" applyFill="1" applyBorder="1" applyAlignment="1">
      <alignment horizontal="right" vertical="center"/>
    </xf>
    <xf numFmtId="167" fontId="25" fillId="3" borderId="2" xfId="0" applyNumberFormat="1" applyFont="1" applyFill="1" applyBorder="1" applyAlignment="1">
      <alignment horizontal="right" vertical="center"/>
    </xf>
    <xf numFmtId="164" fontId="29" fillId="6" borderId="2" xfId="0" applyNumberFormat="1" applyFont="1" applyFill="1" applyBorder="1" applyAlignment="1">
      <alignment horizontal="right" vertical="center"/>
    </xf>
    <xf numFmtId="49" fontId="29" fillId="6" borderId="2" xfId="0" applyNumberFormat="1" applyFont="1" applyFill="1" applyBorder="1" applyAlignment="1">
      <alignment horizontal="right" vertical="center"/>
    </xf>
    <xf numFmtId="164" fontId="30" fillId="3" borderId="2" xfId="0" applyNumberFormat="1" applyFont="1" applyFill="1" applyBorder="1" applyAlignment="1">
      <alignment horizontal="right" vertical="center"/>
    </xf>
    <xf numFmtId="165" fontId="30" fillId="3" borderId="2" xfId="0" applyNumberFormat="1" applyFont="1" applyFill="1" applyBorder="1" applyAlignment="1">
      <alignment horizontal="right" vertical="center"/>
    </xf>
    <xf numFmtId="1" fontId="30" fillId="3" borderId="2" xfId="0" applyNumberFormat="1" applyFont="1" applyFill="1" applyBorder="1" applyAlignment="1">
      <alignment horizontal="right" vertical="center"/>
    </xf>
    <xf numFmtId="1" fontId="13" fillId="3" borderId="2" xfId="0" applyNumberFormat="1" applyFont="1" applyFill="1" applyBorder="1" applyAlignment="1">
      <alignment horizontal="center" vertical="center" wrapText="1"/>
    </xf>
    <xf numFmtId="1" fontId="13" fillId="6" borderId="2" xfId="0" applyNumberFormat="1" applyFont="1" applyFill="1" applyBorder="1" applyAlignment="1">
      <alignment horizontal="center" vertical="center" wrapText="1"/>
    </xf>
    <xf numFmtId="49" fontId="31" fillId="4" borderId="2" xfId="0" applyNumberFormat="1" applyFont="1" applyFill="1" applyBorder="1" applyAlignment="1">
      <alignment horizontal="center" vertical="center" wrapText="1"/>
    </xf>
    <xf numFmtId="0" fontId="31" fillId="4" borderId="2" xfId="0" applyFont="1" applyFill="1" applyBorder="1" applyAlignment="1">
      <alignment horizontal="right" vertical="center"/>
    </xf>
    <xf numFmtId="164" fontId="9" fillId="4" borderId="2" xfId="0" applyNumberFormat="1" applyFont="1" applyFill="1" applyBorder="1" applyAlignment="1">
      <alignment horizontal="right" vertical="center"/>
    </xf>
    <xf numFmtId="164" fontId="31" fillId="4" borderId="2" xfId="0" applyNumberFormat="1" applyFont="1" applyFill="1" applyBorder="1" applyAlignment="1">
      <alignment horizontal="right" vertical="center"/>
    </xf>
    <xf numFmtId="164" fontId="10" fillId="4" borderId="2" xfId="0" applyNumberFormat="1" applyFont="1" applyFill="1" applyBorder="1" applyAlignment="1">
      <alignment horizontal="right" vertical="center"/>
    </xf>
    <xf numFmtId="0" fontId="0" fillId="3" borderId="0" xfId="0" applyFill="1"/>
    <xf numFmtId="164" fontId="25" fillId="6" borderId="2" xfId="0" applyNumberFormat="1" applyFont="1" applyFill="1" applyBorder="1" applyAlignment="1">
      <alignment horizontal="right" vertical="center"/>
    </xf>
    <xf numFmtId="10" fontId="4" fillId="3" borderId="2" xfId="0" applyNumberFormat="1" applyFont="1" applyFill="1" applyBorder="1" applyAlignment="1">
      <alignment horizontal="right" vertical="center"/>
    </xf>
    <xf numFmtId="0" fontId="36" fillId="9" borderId="0" xfId="0" applyFont="1" applyFill="1" applyAlignment="1">
      <alignment horizontal="center" vertical="center" wrapText="1"/>
    </xf>
    <xf numFmtId="0" fontId="38" fillId="9" borderId="0" xfId="0" applyFont="1" applyFill="1" applyAlignment="1">
      <alignment horizontal="center" vertical="center" wrapText="1"/>
    </xf>
    <xf numFmtId="0" fontId="39" fillId="9" borderId="0" xfId="0" applyFont="1" applyFill="1" applyAlignment="1">
      <alignment horizontal="center" vertical="center" wrapText="1"/>
    </xf>
    <xf numFmtId="0" fontId="40" fillId="9" borderId="0" xfId="0" applyFont="1" applyFill="1" applyAlignment="1">
      <alignment horizontal="center" vertical="center" wrapText="1"/>
    </xf>
    <xf numFmtId="0" fontId="41" fillId="9" borderId="0" xfId="0" applyFont="1" applyFill="1" applyAlignment="1">
      <alignment horizontal="center" vertical="center" wrapText="1"/>
    </xf>
    <xf numFmtId="0" fontId="42" fillId="9" borderId="0" xfId="0" applyFont="1" applyFill="1" applyAlignment="1">
      <alignment horizontal="center" vertical="center" wrapText="1"/>
    </xf>
    <xf numFmtId="0" fontId="43" fillId="12" borderId="7" xfId="0" applyFont="1" applyFill="1" applyBorder="1" applyAlignment="1">
      <alignment horizontal="center" vertical="center" wrapText="1"/>
    </xf>
    <xf numFmtId="0" fontId="34" fillId="13" borderId="7" xfId="0" applyFont="1" applyFill="1" applyBorder="1" applyAlignment="1">
      <alignment horizontal="left" vertical="center" wrapText="1"/>
    </xf>
    <xf numFmtId="0" fontId="45" fillId="13" borderId="7" xfId="0" applyFont="1" applyFill="1" applyBorder="1" applyAlignment="1">
      <alignment horizontal="left" vertical="center" wrapText="1"/>
    </xf>
    <xf numFmtId="0" fontId="46" fillId="13" borderId="0" xfId="0" applyFont="1" applyFill="1" applyAlignment="1">
      <alignment horizontal="center" vertical="center" wrapText="1"/>
    </xf>
    <xf numFmtId="0" fontId="6" fillId="3" borderId="0" xfId="0" applyFont="1" applyFill="1" applyAlignment="1">
      <alignment horizontal="left" vertical="center" wrapText="1"/>
    </xf>
    <xf numFmtId="0" fontId="0" fillId="0" borderId="0" xfId="0"/>
    <xf numFmtId="0" fontId="1" fillId="2" borderId="0" xfId="0" applyFont="1" applyFill="1" applyAlignment="1">
      <alignment horizontal="center" vertical="center" wrapText="1"/>
    </xf>
    <xf numFmtId="0" fontId="3" fillId="4" borderId="0" xfId="0" applyFont="1" applyFill="1" applyAlignment="1">
      <alignment horizontal="left" vertical="center" wrapText="1"/>
    </xf>
    <xf numFmtId="0" fontId="20" fillId="3" borderId="0" xfId="0" applyFont="1" applyFill="1" applyAlignment="1">
      <alignment horizontal="left" vertical="center" wrapText="1"/>
    </xf>
    <xf numFmtId="0" fontId="48" fillId="9" borderId="0" xfId="0" applyFont="1" applyFill="1" applyAlignment="1">
      <alignment horizontal="center" vertical="center"/>
    </xf>
    <xf numFmtId="0" fontId="19" fillId="7" borderId="3" xfId="0" applyFont="1" applyFill="1" applyBorder="1" applyAlignment="1">
      <alignment horizontal="left" vertical="top" wrapText="1"/>
    </xf>
    <xf numFmtId="0" fontId="0" fillId="0" borderId="4" xfId="0" applyBorder="1"/>
    <xf numFmtId="0" fontId="0" fillId="0" borderId="5" xfId="0" applyBorder="1"/>
    <xf numFmtId="0" fontId="37" fillId="9" borderId="7" xfId="0" applyFont="1" applyFill="1" applyBorder="1" applyAlignment="1">
      <alignment horizontal="left" vertical="center" wrapText="1"/>
    </xf>
    <xf numFmtId="0" fontId="0" fillId="0" borderId="9" xfId="0" applyBorder="1"/>
    <xf numFmtId="0" fontId="0" fillId="0" borderId="10" xfId="0" applyBorder="1"/>
    <xf numFmtId="0" fontId="34" fillId="11" borderId="0" xfId="0" applyFont="1" applyFill="1" applyAlignment="1">
      <alignment horizontal="left" vertical="center" wrapText="1"/>
    </xf>
    <xf numFmtId="0" fontId="44" fillId="14" borderId="8" xfId="0" applyFont="1" applyFill="1" applyBorder="1" applyAlignment="1">
      <alignment horizontal="left" vertical="center" wrapText="1"/>
    </xf>
    <xf numFmtId="0" fontId="0" fillId="0" borderId="11" xfId="0" applyBorder="1"/>
    <xf numFmtId="0" fontId="0" fillId="0" borderId="12" xfId="0" applyBorder="1"/>
    <xf numFmtId="0" fontId="33" fillId="10" borderId="0" xfId="0" applyFont="1" applyFill="1" applyAlignment="1">
      <alignment horizontal="center" vertical="center" wrapText="1"/>
    </xf>
    <xf numFmtId="0" fontId="37" fillId="9" borderId="0" xfId="0" applyFont="1" applyFill="1" applyAlignment="1">
      <alignment horizontal="left" vertical="center" wrapText="1"/>
    </xf>
    <xf numFmtId="0" fontId="35" fillId="9" borderId="0" xfId="0" applyFont="1" applyFill="1" applyAlignment="1">
      <alignment horizontal="left" vertical="center" wrapText="1"/>
    </xf>
    <xf numFmtId="0" fontId="47" fillId="14" borderId="8" xfId="0" applyFont="1" applyFill="1" applyBorder="1" applyAlignment="1">
      <alignment horizontal="left" vertical="top" wrapText="1"/>
    </xf>
    <xf numFmtId="0" fontId="21" fillId="8" borderId="0" xfId="0" applyFont="1" applyFill="1" applyAlignment="1">
      <alignment horizontal="left" vertical="center" wrapText="1"/>
    </xf>
    <xf numFmtId="0" fontId="8" fillId="3" borderId="6" xfId="0" applyFont="1" applyFill="1" applyBorder="1" applyAlignment="1">
      <alignment horizontal="left" vertical="center" wrapText="1"/>
    </xf>
    <xf numFmtId="0" fontId="0" fillId="0" borderId="6" xfId="0" applyBorder="1"/>
    <xf numFmtId="0" fontId="2" fillId="3" borderId="0" xfId="0" applyFont="1" applyFill="1" applyAlignment="1">
      <alignment horizontal="left" vertical="center" wrapText="1"/>
    </xf>
    <xf numFmtId="0" fontId="32" fillId="7" borderId="3" xfId="0" applyFont="1" applyFill="1" applyBorder="1" applyAlignment="1">
      <alignment horizontal="left" vertical="center" wrapText="1"/>
    </xf>
    <xf numFmtId="0" fontId="26" fillId="3" borderId="0" xfId="0" applyFont="1" applyFill="1" applyAlignment="1">
      <alignment horizontal="left" vertical="center" wrapText="1"/>
    </xf>
    <xf numFmtId="0" fontId="0" fillId="15" borderId="0" xfId="0" applyFill="1"/>
    <xf numFmtId="0" fontId="0" fillId="0" borderId="4" xfId="0" applyBorder="1" applyAlignment="1">
      <alignment horizontal="left"/>
    </xf>
    <xf numFmtId="0" fontId="0" fillId="0" borderId="5" xfId="0" applyBorder="1" applyAlignment="1">
      <alignment horizontal="left"/>
    </xf>
  </cellXfs>
  <cellStyles count="1">
    <cellStyle name="Normal" xfId="0" builtinId="0"/>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57200" cy="4572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438150" cy="43815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oneCellAnchor>
    <xdr:from>
      <xdr:col>0</xdr:col>
      <xdr:colOff>0</xdr:colOff>
      <xdr:row>0</xdr:row>
      <xdr:rowOff>0</xdr:rowOff>
    </xdr:from>
    <xdr:ext cx="457200" cy="457200"/>
    <xdr:pic>
      <xdr:nvPicPr>
        <xdr:cNvPr id="4" name="Image 3" descr="Picture">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438150" cy="43815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oneCellAnchor>
    <xdr:from>
      <xdr:col>0</xdr:col>
      <xdr:colOff>0</xdr:colOff>
      <xdr:row>0</xdr:row>
      <xdr:rowOff>0</xdr:rowOff>
    </xdr:from>
    <xdr:ext cx="457200" cy="457200"/>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438150" cy="43815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oneCellAnchor>
    <xdr:from>
      <xdr:col>0</xdr:col>
      <xdr:colOff>0</xdr:colOff>
      <xdr:row>0</xdr:row>
      <xdr:rowOff>0</xdr:rowOff>
    </xdr:from>
    <xdr:ext cx="457200" cy="457200"/>
    <xdr:pic>
      <xdr:nvPicPr>
        <xdr:cNvPr id="4" name="Image 3" descr="Picture">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438150" cy="43815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oneCellAnchor>
    <xdr:from>
      <xdr:col>0</xdr:col>
      <xdr:colOff>0</xdr:colOff>
      <xdr:row>0</xdr:row>
      <xdr:rowOff>0</xdr:rowOff>
    </xdr:from>
    <xdr:ext cx="457200" cy="457200"/>
    <xdr:pic>
      <xdr:nvPicPr>
        <xdr:cNvPr id="4" name="Image 3" descr="Picture">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438150" cy="438150"/>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oneCellAnchor>
    <xdr:from>
      <xdr:col>0</xdr:col>
      <xdr:colOff>0</xdr:colOff>
      <xdr:row>0</xdr:row>
      <xdr:rowOff>0</xdr:rowOff>
    </xdr:from>
    <xdr:ext cx="457200" cy="457200"/>
    <xdr:pic>
      <xdr:nvPicPr>
        <xdr:cNvPr id="4" name="Image 3" descr="Picture">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daily-compound-flow.base44.app/"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daily-compound-flow.base44.app/"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daily-compound-flow.base44.app/"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daily-compound-flow.base44.app/"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daily-compound-flow.base44.app/"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daily-compound-flow.base44.ap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3"/>
  <sheetViews>
    <sheetView workbookViewId="0">
      <selection activeCell="M62" sqref="M62"/>
    </sheetView>
  </sheetViews>
  <sheetFormatPr defaultRowHeight="15" x14ac:dyDescent="0.25"/>
  <cols>
    <col min="1" max="1" width="5" customWidth="1"/>
    <col min="2" max="2" width="22" customWidth="1"/>
    <col min="3" max="3" width="46" customWidth="1"/>
    <col min="4" max="4" width="30.7109375" customWidth="1"/>
    <col min="5" max="5" width="1" customWidth="1"/>
    <col min="6" max="6" width="0.7109375" customWidth="1"/>
    <col min="7" max="7" width="1" hidden="1" customWidth="1"/>
    <col min="8" max="8" width="4.140625" hidden="1" customWidth="1"/>
  </cols>
  <sheetData>
    <row r="1" spans="1:8" ht="36" customHeight="1" x14ac:dyDescent="0.25">
      <c r="A1" s="87" t="s">
        <v>36</v>
      </c>
      <c r="B1" s="72"/>
      <c r="C1" s="72"/>
      <c r="D1" s="72"/>
      <c r="E1" s="72"/>
      <c r="F1" s="72"/>
      <c r="G1" s="72"/>
      <c r="H1" s="72"/>
    </row>
    <row r="2" spans="1:8" ht="15.95" customHeight="1" x14ac:dyDescent="0.25">
      <c r="A2" s="76" t="s">
        <v>1</v>
      </c>
      <c r="B2" s="72"/>
      <c r="C2" s="72"/>
      <c r="D2" s="72"/>
      <c r="E2" s="72"/>
      <c r="F2" s="72"/>
      <c r="G2" s="72"/>
      <c r="H2" s="72"/>
    </row>
    <row r="4" spans="1:8" ht="21.95" customHeight="1" x14ac:dyDescent="0.25">
      <c r="A4" s="83" t="s">
        <v>37</v>
      </c>
      <c r="B4" s="72"/>
      <c r="C4" s="72"/>
      <c r="D4" s="72"/>
      <c r="E4" s="72"/>
      <c r="F4" s="72"/>
      <c r="G4" s="72"/>
      <c r="H4" s="72"/>
    </row>
    <row r="5" spans="1:8" ht="69" customHeight="1" x14ac:dyDescent="0.25">
      <c r="A5" s="89" t="s">
        <v>38</v>
      </c>
      <c r="B5" s="72"/>
      <c r="C5" s="72"/>
      <c r="D5" s="72"/>
      <c r="E5" s="72"/>
      <c r="F5" s="72"/>
      <c r="G5" s="72"/>
      <c r="H5" s="72"/>
    </row>
    <row r="7" spans="1:8" ht="21.95" customHeight="1" x14ac:dyDescent="0.25">
      <c r="A7" s="83" t="s">
        <v>39</v>
      </c>
      <c r="B7" s="72"/>
      <c r="C7" s="72"/>
      <c r="D7" s="72"/>
      <c r="E7" s="72"/>
      <c r="F7" s="72"/>
      <c r="G7" s="72"/>
      <c r="H7" s="72"/>
    </row>
    <row r="8" spans="1:8" ht="20.100000000000001" customHeight="1" x14ac:dyDescent="0.25">
      <c r="A8" s="61" t="s">
        <v>40</v>
      </c>
      <c r="B8" s="88" t="s">
        <v>41</v>
      </c>
      <c r="C8" s="72"/>
      <c r="D8" s="72"/>
      <c r="E8" s="72"/>
      <c r="F8" s="72"/>
    </row>
    <row r="9" spans="1:8" ht="20.100000000000001" customHeight="1" x14ac:dyDescent="0.25">
      <c r="A9" s="62" t="s">
        <v>40</v>
      </c>
      <c r="B9" s="88" t="s">
        <v>42</v>
      </c>
      <c r="C9" s="72"/>
      <c r="D9" s="72"/>
      <c r="E9" s="72"/>
      <c r="F9" s="72"/>
    </row>
    <row r="10" spans="1:8" ht="20.100000000000001" customHeight="1" x14ac:dyDescent="0.25">
      <c r="A10" s="63" t="s">
        <v>40</v>
      </c>
      <c r="B10" s="88" t="s">
        <v>43</v>
      </c>
      <c r="C10" s="72"/>
      <c r="D10" s="72"/>
      <c r="E10" s="72"/>
      <c r="F10" s="72"/>
    </row>
    <row r="11" spans="1:8" ht="20.100000000000001" customHeight="1" x14ac:dyDescent="0.25">
      <c r="A11" s="64" t="s">
        <v>40</v>
      </c>
      <c r="B11" s="88" t="s">
        <v>44</v>
      </c>
      <c r="C11" s="72"/>
      <c r="D11" s="72"/>
      <c r="E11" s="72"/>
      <c r="F11" s="72"/>
    </row>
    <row r="12" spans="1:8" ht="20.100000000000001" customHeight="1" x14ac:dyDescent="0.25">
      <c r="A12" s="65" t="s">
        <v>40</v>
      </c>
      <c r="B12" s="88" t="s">
        <v>45</v>
      </c>
      <c r="C12" s="72"/>
      <c r="D12" s="72"/>
      <c r="E12" s="72"/>
      <c r="F12" s="72"/>
    </row>
    <row r="13" spans="1:8" ht="20.100000000000001" customHeight="1" x14ac:dyDescent="0.25">
      <c r="A13" s="66" t="s">
        <v>40</v>
      </c>
      <c r="B13" s="88" t="s">
        <v>46</v>
      </c>
      <c r="C13" s="72"/>
      <c r="D13" s="72"/>
      <c r="E13" s="72"/>
      <c r="F13" s="72"/>
    </row>
    <row r="15" spans="1:8" ht="21.95" customHeight="1" x14ac:dyDescent="0.25">
      <c r="A15" s="83" t="s">
        <v>47</v>
      </c>
      <c r="B15" s="72"/>
      <c r="C15" s="72"/>
      <c r="D15" s="72"/>
      <c r="E15" s="72"/>
      <c r="F15" s="72"/>
      <c r="G15" s="72"/>
      <c r="H15" s="72"/>
    </row>
    <row r="16" spans="1:8" ht="57.75" customHeight="1" x14ac:dyDescent="0.25">
      <c r="A16" s="67" t="s">
        <v>48</v>
      </c>
      <c r="B16" s="68" t="s">
        <v>49</v>
      </c>
      <c r="C16" s="80" t="s">
        <v>50</v>
      </c>
      <c r="D16" s="81"/>
      <c r="E16" s="81"/>
      <c r="F16" s="81"/>
      <c r="G16" s="81"/>
      <c r="H16" s="82"/>
    </row>
    <row r="17" spans="1:8" ht="69" customHeight="1" x14ac:dyDescent="0.25">
      <c r="A17" s="67" t="s">
        <v>51</v>
      </c>
      <c r="B17" s="68" t="s">
        <v>52</v>
      </c>
      <c r="C17" s="80" t="s">
        <v>53</v>
      </c>
      <c r="D17" s="81"/>
      <c r="E17" s="81"/>
      <c r="F17" s="81"/>
      <c r="G17" s="81"/>
      <c r="H17" s="82"/>
    </row>
    <row r="18" spans="1:8" ht="56.25" customHeight="1" x14ac:dyDescent="0.25">
      <c r="A18" s="67" t="s">
        <v>54</v>
      </c>
      <c r="B18" s="68" t="s">
        <v>55</v>
      </c>
      <c r="C18" s="80" t="s">
        <v>56</v>
      </c>
      <c r="D18" s="81"/>
      <c r="E18" s="81"/>
      <c r="F18" s="81"/>
      <c r="G18" s="81"/>
      <c r="H18" s="82"/>
    </row>
    <row r="19" spans="1:8" ht="54" customHeight="1" x14ac:dyDescent="0.25">
      <c r="A19" s="67" t="s">
        <v>57</v>
      </c>
      <c r="B19" s="68" t="s">
        <v>58</v>
      </c>
      <c r="C19" s="80" t="s">
        <v>59</v>
      </c>
      <c r="D19" s="81"/>
      <c r="E19" s="81"/>
      <c r="F19" s="81"/>
      <c r="G19" s="81"/>
      <c r="H19" s="82"/>
    </row>
    <row r="20" spans="1:8" ht="45.75" customHeight="1" x14ac:dyDescent="0.25">
      <c r="A20" s="67" t="s">
        <v>60</v>
      </c>
      <c r="B20" s="68" t="s">
        <v>61</v>
      </c>
      <c r="C20" s="80" t="s">
        <v>62</v>
      </c>
      <c r="D20" s="81"/>
      <c r="E20" s="81"/>
      <c r="F20" s="81"/>
      <c r="G20" s="81"/>
      <c r="H20" s="82"/>
    </row>
    <row r="21" spans="1:8" ht="58.5" customHeight="1" x14ac:dyDescent="0.25">
      <c r="A21" s="67" t="s">
        <v>63</v>
      </c>
      <c r="B21" s="68" t="s">
        <v>64</v>
      </c>
      <c r="C21" s="80" t="s">
        <v>65</v>
      </c>
      <c r="D21" s="81"/>
      <c r="E21" s="81"/>
      <c r="F21" s="81"/>
      <c r="G21" s="81"/>
      <c r="H21" s="82"/>
    </row>
    <row r="22" spans="1:8" ht="87.75" customHeight="1" x14ac:dyDescent="0.25">
      <c r="A22" s="67" t="s">
        <v>66</v>
      </c>
      <c r="B22" s="68" t="s">
        <v>67</v>
      </c>
      <c r="C22" s="80" t="s">
        <v>68</v>
      </c>
      <c r="D22" s="81"/>
      <c r="E22" s="81"/>
      <c r="F22" s="81"/>
      <c r="G22" s="81"/>
      <c r="H22" s="82"/>
    </row>
    <row r="23" spans="1:8" ht="70.5" customHeight="1" x14ac:dyDescent="0.25">
      <c r="A23" s="67" t="s">
        <v>69</v>
      </c>
      <c r="B23" s="68" t="s">
        <v>70</v>
      </c>
      <c r="C23" s="80" t="s">
        <v>71</v>
      </c>
      <c r="D23" s="81"/>
      <c r="E23" s="81"/>
      <c r="F23" s="81"/>
      <c r="G23" s="81"/>
      <c r="H23" s="82"/>
    </row>
    <row r="25" spans="1:8" ht="39.950000000000003" customHeight="1" x14ac:dyDescent="0.25">
      <c r="A25" s="84" t="s">
        <v>72</v>
      </c>
      <c r="B25" s="85"/>
      <c r="C25" s="85"/>
      <c r="D25" s="85"/>
      <c r="E25" s="85"/>
      <c r="F25" s="85"/>
      <c r="G25" s="85"/>
      <c r="H25" s="86"/>
    </row>
    <row r="27" spans="1:8" ht="21.95" customHeight="1" x14ac:dyDescent="0.25">
      <c r="A27" s="83" t="s">
        <v>73</v>
      </c>
      <c r="B27" s="72"/>
      <c r="C27" s="72"/>
      <c r="D27" s="72"/>
      <c r="E27" s="72"/>
      <c r="F27" s="72"/>
      <c r="G27" s="72"/>
      <c r="H27" s="72"/>
    </row>
    <row r="28" spans="1:8" ht="42" customHeight="1" x14ac:dyDescent="0.25">
      <c r="A28" s="67" t="s">
        <v>48</v>
      </c>
      <c r="B28" s="68" t="s">
        <v>74</v>
      </c>
      <c r="C28" s="80" t="s">
        <v>75</v>
      </c>
      <c r="D28" s="81"/>
      <c r="E28" s="81"/>
      <c r="F28" s="81"/>
      <c r="G28" s="81"/>
      <c r="H28" s="82"/>
    </row>
    <row r="29" spans="1:8" ht="48" customHeight="1" x14ac:dyDescent="0.25">
      <c r="A29" s="67" t="s">
        <v>51</v>
      </c>
      <c r="B29" s="68" t="s">
        <v>52</v>
      </c>
      <c r="C29" s="80" t="s">
        <v>76</v>
      </c>
      <c r="D29" s="81"/>
      <c r="E29" s="81"/>
      <c r="F29" s="81"/>
      <c r="G29" s="81"/>
      <c r="H29" s="82"/>
    </row>
    <row r="30" spans="1:8" ht="82.5" customHeight="1" x14ac:dyDescent="0.25">
      <c r="A30" s="67" t="s">
        <v>54</v>
      </c>
      <c r="B30" s="68" t="s">
        <v>77</v>
      </c>
      <c r="C30" s="80" t="s">
        <v>78</v>
      </c>
      <c r="D30" s="81"/>
      <c r="E30" s="81"/>
      <c r="F30" s="81"/>
      <c r="G30" s="81"/>
      <c r="H30" s="82"/>
    </row>
    <row r="32" spans="1:8" ht="39.950000000000003" customHeight="1" x14ac:dyDescent="0.25">
      <c r="A32" s="84" t="s">
        <v>79</v>
      </c>
      <c r="B32" s="85"/>
      <c r="C32" s="85"/>
      <c r="D32" s="85"/>
      <c r="E32" s="85"/>
      <c r="F32" s="85"/>
      <c r="G32" s="85"/>
      <c r="H32" s="86"/>
    </row>
    <row r="34" spans="1:8" ht="21.95" customHeight="1" x14ac:dyDescent="0.25">
      <c r="A34" s="83" t="s">
        <v>80</v>
      </c>
      <c r="B34" s="72"/>
      <c r="C34" s="72"/>
      <c r="D34" s="72"/>
      <c r="E34" s="72"/>
      <c r="F34" s="72"/>
      <c r="G34" s="72"/>
      <c r="H34" s="72"/>
    </row>
    <row r="35" spans="1:8" ht="42" customHeight="1" x14ac:dyDescent="0.25">
      <c r="A35" s="67" t="s">
        <v>48</v>
      </c>
      <c r="B35" s="68" t="s">
        <v>81</v>
      </c>
      <c r="C35" s="80" t="s">
        <v>82</v>
      </c>
      <c r="D35" s="81"/>
      <c r="E35" s="81"/>
      <c r="F35" s="81"/>
      <c r="G35" s="81"/>
      <c r="H35" s="82"/>
    </row>
    <row r="36" spans="1:8" ht="56.25" customHeight="1" x14ac:dyDescent="0.25">
      <c r="A36" s="67" t="s">
        <v>51</v>
      </c>
      <c r="B36" s="68" t="s">
        <v>83</v>
      </c>
      <c r="C36" s="80" t="s">
        <v>84</v>
      </c>
      <c r="D36" s="81"/>
      <c r="E36" s="81"/>
      <c r="F36" s="81"/>
      <c r="G36" s="81"/>
      <c r="H36" s="82"/>
    </row>
    <row r="37" spans="1:8" ht="57.75" customHeight="1" x14ac:dyDescent="0.25">
      <c r="A37" s="67" t="s">
        <v>54</v>
      </c>
      <c r="B37" s="68" t="s">
        <v>85</v>
      </c>
      <c r="C37" s="80" t="s">
        <v>86</v>
      </c>
      <c r="D37" s="81"/>
      <c r="E37" s="81"/>
      <c r="F37" s="81"/>
      <c r="G37" s="81"/>
      <c r="H37" s="82"/>
    </row>
    <row r="38" spans="1:8" ht="63.75" customHeight="1" x14ac:dyDescent="0.25">
      <c r="A38" s="67" t="s">
        <v>57</v>
      </c>
      <c r="B38" s="68" t="s">
        <v>87</v>
      </c>
      <c r="C38" s="80" t="s">
        <v>88</v>
      </c>
      <c r="D38" s="81"/>
      <c r="E38" s="81"/>
      <c r="F38" s="81"/>
      <c r="G38" s="81"/>
      <c r="H38" s="82"/>
    </row>
    <row r="39" spans="1:8" ht="61.5" customHeight="1" x14ac:dyDescent="0.25">
      <c r="A39" s="67" t="s">
        <v>60</v>
      </c>
      <c r="B39" s="68" t="s">
        <v>89</v>
      </c>
      <c r="C39" s="80" t="s">
        <v>90</v>
      </c>
      <c r="D39" s="81"/>
      <c r="E39" s="81"/>
      <c r="F39" s="81"/>
      <c r="G39" s="81"/>
      <c r="H39" s="82"/>
    </row>
    <row r="41" spans="1:8" ht="39.950000000000003" customHeight="1" x14ac:dyDescent="0.25">
      <c r="A41" s="84" t="s">
        <v>91</v>
      </c>
      <c r="B41" s="85"/>
      <c r="C41" s="85"/>
      <c r="D41" s="85"/>
      <c r="E41" s="85"/>
      <c r="F41" s="85"/>
      <c r="G41" s="85"/>
      <c r="H41" s="86"/>
    </row>
    <row r="43" spans="1:8" ht="21.95" customHeight="1" x14ac:dyDescent="0.25">
      <c r="A43" s="83" t="s">
        <v>92</v>
      </c>
      <c r="B43" s="72"/>
      <c r="C43" s="72"/>
      <c r="D43" s="72"/>
      <c r="E43" s="72"/>
      <c r="F43" s="72"/>
      <c r="G43" s="72"/>
      <c r="H43" s="72"/>
    </row>
    <row r="44" spans="1:8" ht="42" customHeight="1" x14ac:dyDescent="0.25">
      <c r="A44" s="67" t="s">
        <v>48</v>
      </c>
      <c r="B44" s="68" t="s">
        <v>93</v>
      </c>
      <c r="C44" s="80" t="s">
        <v>94</v>
      </c>
      <c r="D44" s="81"/>
      <c r="E44" s="81"/>
      <c r="F44" s="81"/>
      <c r="G44" s="81"/>
      <c r="H44" s="82"/>
    </row>
    <row r="45" spans="1:8" ht="42" customHeight="1" x14ac:dyDescent="0.25">
      <c r="A45" s="67" t="s">
        <v>51</v>
      </c>
      <c r="B45" s="68" t="s">
        <v>95</v>
      </c>
      <c r="C45" s="80" t="s">
        <v>96</v>
      </c>
      <c r="D45" s="81"/>
      <c r="E45" s="81"/>
      <c r="F45" s="81"/>
      <c r="G45" s="81"/>
      <c r="H45" s="82"/>
    </row>
    <row r="46" spans="1:8" ht="63" customHeight="1" x14ac:dyDescent="0.25">
      <c r="A46" s="67" t="s">
        <v>54</v>
      </c>
      <c r="B46" s="68" t="s">
        <v>97</v>
      </c>
      <c r="C46" s="80" t="s">
        <v>98</v>
      </c>
      <c r="D46" s="81"/>
      <c r="E46" s="81"/>
      <c r="F46" s="81"/>
      <c r="G46" s="81"/>
      <c r="H46" s="82"/>
    </row>
    <row r="47" spans="1:8" ht="68.25" customHeight="1" x14ac:dyDescent="0.25">
      <c r="A47" s="67" t="s">
        <v>57</v>
      </c>
      <c r="B47" s="68" t="s">
        <v>99</v>
      </c>
      <c r="C47" s="80" t="s">
        <v>100</v>
      </c>
      <c r="D47" s="81"/>
      <c r="E47" s="81"/>
      <c r="F47" s="81"/>
      <c r="G47" s="81"/>
      <c r="H47" s="82"/>
    </row>
    <row r="49" spans="1:8" ht="39.950000000000003" customHeight="1" x14ac:dyDescent="0.25">
      <c r="A49" s="84" t="s">
        <v>101</v>
      </c>
      <c r="B49" s="85"/>
      <c r="C49" s="85"/>
      <c r="D49" s="85"/>
      <c r="E49" s="85"/>
      <c r="F49" s="85"/>
      <c r="G49" s="85"/>
      <c r="H49" s="86"/>
    </row>
    <row r="51" spans="1:8" ht="21.95" customHeight="1" x14ac:dyDescent="0.25">
      <c r="A51" s="83" t="s">
        <v>102</v>
      </c>
      <c r="B51" s="72"/>
      <c r="C51" s="72"/>
      <c r="D51" s="72"/>
      <c r="E51" s="72"/>
      <c r="F51" s="72"/>
      <c r="G51" s="72"/>
      <c r="H51" s="72"/>
    </row>
    <row r="52" spans="1:8" ht="63.75" customHeight="1" x14ac:dyDescent="0.25">
      <c r="A52" s="66" t="s">
        <v>103</v>
      </c>
      <c r="B52" s="69" t="s">
        <v>104</v>
      </c>
      <c r="C52" s="80" t="s">
        <v>105</v>
      </c>
      <c r="D52" s="81"/>
      <c r="E52" s="81"/>
      <c r="F52" s="81"/>
      <c r="G52" s="81"/>
      <c r="H52" s="82"/>
    </row>
    <row r="53" spans="1:8" ht="66.75" customHeight="1" x14ac:dyDescent="0.25">
      <c r="A53" s="66" t="s">
        <v>103</v>
      </c>
      <c r="B53" s="69" t="s">
        <v>106</v>
      </c>
      <c r="C53" s="80" t="s">
        <v>107</v>
      </c>
      <c r="D53" s="81"/>
      <c r="E53" s="81"/>
      <c r="F53" s="81"/>
      <c r="G53" s="81"/>
      <c r="H53" s="82"/>
    </row>
    <row r="54" spans="1:8" ht="60" customHeight="1" x14ac:dyDescent="0.25">
      <c r="A54" s="66" t="s">
        <v>103</v>
      </c>
      <c r="B54" s="69" t="s">
        <v>108</v>
      </c>
      <c r="C54" s="80" t="s">
        <v>109</v>
      </c>
      <c r="D54" s="81"/>
      <c r="E54" s="81"/>
      <c r="F54" s="81"/>
      <c r="G54" s="81"/>
      <c r="H54" s="82"/>
    </row>
    <row r="55" spans="1:8" ht="55.5" customHeight="1" x14ac:dyDescent="0.25">
      <c r="A55" s="66" t="s">
        <v>103</v>
      </c>
      <c r="B55" s="69" t="s">
        <v>110</v>
      </c>
      <c r="C55" s="80" t="s">
        <v>111</v>
      </c>
      <c r="D55" s="81"/>
      <c r="E55" s="81"/>
      <c r="F55" s="81"/>
      <c r="G55" s="81"/>
      <c r="H55" s="82"/>
    </row>
    <row r="57" spans="1:8" ht="21.95" customHeight="1" x14ac:dyDescent="0.25">
      <c r="A57" s="83" t="s">
        <v>112</v>
      </c>
      <c r="B57" s="72"/>
      <c r="C57" s="72"/>
      <c r="D57" s="72"/>
      <c r="E57" s="72"/>
      <c r="F57" s="72"/>
      <c r="G57" s="72"/>
      <c r="H57" s="72"/>
    </row>
    <row r="58" spans="1:8" ht="51" customHeight="1" x14ac:dyDescent="0.25">
      <c r="A58" s="70" t="s">
        <v>113</v>
      </c>
      <c r="B58" s="68" t="s">
        <v>114</v>
      </c>
      <c r="C58" s="80" t="s">
        <v>115</v>
      </c>
      <c r="D58" s="81"/>
      <c r="E58" s="81"/>
      <c r="F58" s="81"/>
      <c r="G58" s="81"/>
      <c r="H58" s="82"/>
    </row>
    <row r="59" spans="1:8" ht="55.5" customHeight="1" x14ac:dyDescent="0.25">
      <c r="A59" s="70" t="s">
        <v>113</v>
      </c>
      <c r="B59" s="68" t="s">
        <v>116</v>
      </c>
      <c r="C59" s="80" t="s">
        <v>117</v>
      </c>
      <c r="D59" s="81"/>
      <c r="E59" s="81"/>
      <c r="F59" s="81"/>
      <c r="G59" s="81"/>
      <c r="H59" s="82"/>
    </row>
    <row r="60" spans="1:8" ht="46.5" customHeight="1" x14ac:dyDescent="0.25">
      <c r="A60" s="70" t="s">
        <v>113</v>
      </c>
      <c r="B60" s="68" t="s">
        <v>118</v>
      </c>
      <c r="C60" s="80" t="s">
        <v>119</v>
      </c>
      <c r="D60" s="81"/>
      <c r="E60" s="81"/>
      <c r="F60" s="81"/>
      <c r="G60" s="81"/>
      <c r="H60" s="82"/>
    </row>
    <row r="61" spans="1:8" ht="50.25" customHeight="1" x14ac:dyDescent="0.25">
      <c r="A61" s="70" t="s">
        <v>113</v>
      </c>
      <c r="B61" s="68" t="s">
        <v>120</v>
      </c>
      <c r="C61" s="80" t="s">
        <v>121</v>
      </c>
      <c r="D61" s="81"/>
      <c r="E61" s="81"/>
      <c r="F61" s="81"/>
      <c r="G61" s="81"/>
      <c r="H61" s="82"/>
    </row>
    <row r="63" spans="1:8" ht="110.1" customHeight="1" x14ac:dyDescent="0.25">
      <c r="A63" s="90" t="s">
        <v>35</v>
      </c>
      <c r="B63" s="85"/>
      <c r="C63" s="85"/>
      <c r="D63" s="85"/>
      <c r="E63" s="85"/>
      <c r="F63" s="85"/>
      <c r="G63" s="85"/>
      <c r="H63" s="86"/>
    </row>
  </sheetData>
  <mergeCells count="50">
    <mergeCell ref="A63:H63"/>
    <mergeCell ref="C45:H45"/>
    <mergeCell ref="C35:H35"/>
    <mergeCell ref="C20:H20"/>
    <mergeCell ref="C29:H29"/>
    <mergeCell ref="A34:H34"/>
    <mergeCell ref="C61:H61"/>
    <mergeCell ref="C39:H39"/>
    <mergeCell ref="A41:H41"/>
    <mergeCell ref="C17:H17"/>
    <mergeCell ref="B8:F8"/>
    <mergeCell ref="A27:H27"/>
    <mergeCell ref="B13:F13"/>
    <mergeCell ref="C38:H38"/>
    <mergeCell ref="C19:H19"/>
    <mergeCell ref="C28:H28"/>
    <mergeCell ref="A57:H57"/>
    <mergeCell ref="B10:F10"/>
    <mergeCell ref="C37:H37"/>
    <mergeCell ref="C53:H53"/>
    <mergeCell ref="C18:H18"/>
    <mergeCell ref="A32:H32"/>
    <mergeCell ref="C60:H60"/>
    <mergeCell ref="C36:H36"/>
    <mergeCell ref="A7:H7"/>
    <mergeCell ref="A25:H25"/>
    <mergeCell ref="B11:F11"/>
    <mergeCell ref="C52:H52"/>
    <mergeCell ref="C23:H23"/>
    <mergeCell ref="B9:F9"/>
    <mergeCell ref="C30:H30"/>
    <mergeCell ref="C58:H58"/>
    <mergeCell ref="A43:H43"/>
    <mergeCell ref="A1:H1"/>
    <mergeCell ref="C21:H21"/>
    <mergeCell ref="C59:H59"/>
    <mergeCell ref="C46:H46"/>
    <mergeCell ref="B12:F12"/>
    <mergeCell ref="A2:H2"/>
    <mergeCell ref="A5:H5"/>
    <mergeCell ref="A4:H4"/>
    <mergeCell ref="C47:H47"/>
    <mergeCell ref="C16:H16"/>
    <mergeCell ref="C54:H54"/>
    <mergeCell ref="C55:H55"/>
    <mergeCell ref="A15:H15"/>
    <mergeCell ref="C44:H44"/>
    <mergeCell ref="C22:H22"/>
    <mergeCell ref="A51:H51"/>
    <mergeCell ref="A49:H49"/>
  </mergeCells>
  <hyperlinks>
    <hyperlink ref="A2" r:id="rId1" xr:uid="{00000000-0004-0000-0000-000000000000}"/>
  </hyperlinks>
  <pageMargins left="0.75" right="0.75" top="1" bottom="1" header="0.5" footer="0.5"/>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3"/>
  <sheetViews>
    <sheetView topLeftCell="A45" workbookViewId="0">
      <selection activeCell="J6" sqref="J6"/>
    </sheetView>
  </sheetViews>
  <sheetFormatPr defaultRowHeight="15" x14ac:dyDescent="0.25"/>
  <cols>
    <col min="1" max="1" width="1" customWidth="1"/>
    <col min="2" max="2" width="37.5703125" customWidth="1"/>
    <col min="3" max="3" width="43.140625" customWidth="1"/>
    <col min="4" max="4" width="20" customWidth="1"/>
    <col min="5" max="5" width="35.85546875" customWidth="1"/>
    <col min="6" max="6" width="1" hidden="1" customWidth="1"/>
    <col min="7" max="7" width="6.28515625" hidden="1" customWidth="1"/>
  </cols>
  <sheetData>
    <row r="1" spans="1:7" ht="36" customHeight="1" x14ac:dyDescent="0.25">
      <c r="A1" s="73" t="s">
        <v>122</v>
      </c>
      <c r="B1" s="72"/>
      <c r="C1" s="72"/>
      <c r="D1" s="72"/>
      <c r="E1" s="72"/>
      <c r="F1" s="72"/>
      <c r="G1" s="72"/>
    </row>
    <row r="2" spans="1:7" ht="15.95" customHeight="1" x14ac:dyDescent="0.25">
      <c r="A2" s="76" t="s">
        <v>1</v>
      </c>
      <c r="B2" s="72"/>
      <c r="C2" s="72"/>
      <c r="D2" s="72"/>
      <c r="E2" s="72"/>
      <c r="F2" s="72"/>
      <c r="G2" s="72"/>
    </row>
    <row r="4" spans="1:7" ht="20.100000000000001" customHeight="1" x14ac:dyDescent="0.25">
      <c r="B4" s="74" t="s">
        <v>123</v>
      </c>
      <c r="C4" s="72"/>
      <c r="D4" s="72"/>
      <c r="E4" s="72"/>
    </row>
    <row r="5" spans="1:7" ht="24" customHeight="1" x14ac:dyDescent="0.25">
      <c r="B5" s="2" t="s">
        <v>124</v>
      </c>
      <c r="C5" s="3">
        <v>5000</v>
      </c>
      <c r="D5" s="71" t="s">
        <v>125</v>
      </c>
      <c r="E5" s="72"/>
    </row>
    <row r="6" spans="1:7" ht="24" customHeight="1" x14ac:dyDescent="0.25">
      <c r="B6" s="2" t="s">
        <v>6</v>
      </c>
      <c r="C6" s="4">
        <v>1.2500000000000001E-2</v>
      </c>
      <c r="D6" s="71" t="s">
        <v>126</v>
      </c>
      <c r="E6" s="72"/>
    </row>
    <row r="7" spans="1:7" ht="24" customHeight="1" x14ac:dyDescent="0.25">
      <c r="B7" s="2" t="s">
        <v>127</v>
      </c>
      <c r="C7" s="5"/>
      <c r="D7" s="71"/>
      <c r="E7" s="72"/>
    </row>
    <row r="8" spans="1:7" ht="24" customHeight="1" x14ac:dyDescent="0.25">
      <c r="B8" s="2" t="s">
        <v>128</v>
      </c>
      <c r="C8" s="5"/>
      <c r="D8" s="71" t="s">
        <v>129</v>
      </c>
      <c r="E8" s="72"/>
    </row>
    <row r="9" spans="1:7" ht="24" customHeight="1" x14ac:dyDescent="0.25">
      <c r="B9" s="2" t="s">
        <v>130</v>
      </c>
      <c r="C9" s="5">
        <v>180</v>
      </c>
      <c r="D9" s="71" t="s">
        <v>131</v>
      </c>
      <c r="E9" s="72"/>
    </row>
    <row r="10" spans="1:7" ht="24" customHeight="1" x14ac:dyDescent="0.25">
      <c r="B10" s="2" t="s">
        <v>132</v>
      </c>
      <c r="C10" s="6">
        <v>46143</v>
      </c>
      <c r="D10" s="71" t="s">
        <v>133</v>
      </c>
      <c r="E10" s="72"/>
    </row>
    <row r="11" spans="1:7" ht="24" customHeight="1" x14ac:dyDescent="0.25">
      <c r="B11" s="2" t="s">
        <v>134</v>
      </c>
      <c r="C11" s="3"/>
      <c r="D11" s="71" t="s">
        <v>135</v>
      </c>
      <c r="E11" s="72"/>
    </row>
    <row r="13" spans="1:7" ht="20.100000000000001" customHeight="1" x14ac:dyDescent="0.25">
      <c r="B13" s="74" t="s">
        <v>19</v>
      </c>
      <c r="C13" s="72"/>
      <c r="D13" s="72"/>
      <c r="E13" s="72"/>
    </row>
    <row r="14" spans="1:7" ht="21.95" customHeight="1" x14ac:dyDescent="0.25">
      <c r="B14" s="2" t="s">
        <v>136</v>
      </c>
      <c r="C14" s="7">
        <f>C7*365+C8*30+C9</f>
        <v>180</v>
      </c>
    </row>
    <row r="15" spans="1:7" ht="21.95" customHeight="1" x14ac:dyDescent="0.25">
      <c r="B15" s="2" t="s">
        <v>137</v>
      </c>
      <c r="C15" s="8">
        <f>IF(AND(ISNUMBER(C10),C14&gt;0),C10+C14,"")</f>
        <v>46323</v>
      </c>
    </row>
    <row r="16" spans="1:7" ht="21.95" customHeight="1" x14ac:dyDescent="0.25">
      <c r="B16" s="9" t="s">
        <v>138</v>
      </c>
      <c r="C16" s="10">
        <f>IF(C6&gt;0,(1+C6)^365-1,0)</f>
        <v>92.15081063448666</v>
      </c>
    </row>
    <row r="17" spans="1:6" ht="21.95" customHeight="1" x14ac:dyDescent="0.25">
      <c r="B17" s="2" t="s">
        <v>139</v>
      </c>
      <c r="C17" s="11">
        <f>IF(C6&gt;0,(1+C6)^30-1,0)</f>
        <v>0.45161336000714725</v>
      </c>
    </row>
    <row r="19" spans="1:6" ht="20.100000000000001" customHeight="1" x14ac:dyDescent="0.25">
      <c r="B19" s="74" t="s">
        <v>140</v>
      </c>
      <c r="C19" s="72"/>
      <c r="D19" s="72"/>
      <c r="E19" s="72"/>
    </row>
    <row r="20" spans="1:6" ht="21.95" customHeight="1" x14ac:dyDescent="0.25">
      <c r="B20" s="9" t="s">
        <v>141</v>
      </c>
      <c r="C20" s="12">
        <f>IF(C11&gt;0,C5*(1+C6)^C14+C11*((1+C6)^C14-1)/((1+C6)^30-1)*((1+C6)^30-1),C5*(1+C6)^C14)</f>
        <v>46781.67246253448</v>
      </c>
    </row>
    <row r="21" spans="1:6" ht="21.95" customHeight="1" x14ac:dyDescent="0.25">
      <c r="B21" s="9" t="s">
        <v>31</v>
      </c>
      <c r="C21" s="13">
        <f>IF(C20&gt;0,C20-C5-C11*MAX(0,INT(C14/30)),0)</f>
        <v>41781.67246253448</v>
      </c>
    </row>
    <row r="22" spans="1:6" ht="21.95" customHeight="1" x14ac:dyDescent="0.25">
      <c r="B22" s="2" t="s">
        <v>142</v>
      </c>
      <c r="C22" s="14">
        <f>C11*MAX(0,INT(C14/30))</f>
        <v>0</v>
      </c>
    </row>
    <row r="23" spans="1:6" ht="21.95" customHeight="1" x14ac:dyDescent="0.25">
      <c r="B23" s="2" t="s">
        <v>143</v>
      </c>
      <c r="C23" s="14">
        <f>C5</f>
        <v>5000</v>
      </c>
    </row>
    <row r="24" spans="1:6" ht="21.95" customHeight="1" x14ac:dyDescent="0.25">
      <c r="B24" s="9" t="s">
        <v>144</v>
      </c>
      <c r="C24" s="15">
        <f>IF(C5&gt;0,(C20-C5)/C5,0)</f>
        <v>8.3563344925068961</v>
      </c>
    </row>
    <row r="26" spans="1:6" ht="20.100000000000001" customHeight="1" x14ac:dyDescent="0.25">
      <c r="B26" s="74" t="s">
        <v>145</v>
      </c>
      <c r="C26" s="72"/>
      <c r="D26" s="72"/>
      <c r="E26" s="72"/>
    </row>
    <row r="27" spans="1:6" ht="18" customHeight="1" x14ac:dyDescent="0.25">
      <c r="B27" s="94" t="s">
        <v>146</v>
      </c>
      <c r="C27" s="72"/>
      <c r="D27" s="72"/>
      <c r="E27" s="72"/>
    </row>
    <row r="28" spans="1:6" ht="24" customHeight="1" x14ac:dyDescent="0.25">
      <c r="B28" s="2" t="s">
        <v>147</v>
      </c>
      <c r="C28" s="5">
        <v>95</v>
      </c>
      <c r="D28" s="71" t="s">
        <v>148</v>
      </c>
      <c r="E28" s="72"/>
    </row>
    <row r="29" spans="1:6" ht="6" customHeight="1" x14ac:dyDescent="0.25">
      <c r="A29" s="58"/>
      <c r="B29" s="58"/>
      <c r="C29" s="58"/>
      <c r="D29" s="58"/>
      <c r="E29" s="58"/>
      <c r="F29" s="58"/>
    </row>
    <row r="30" spans="1:6" ht="21.95" customHeight="1" x14ac:dyDescent="0.25">
      <c r="B30" s="91" t="s">
        <v>149</v>
      </c>
      <c r="C30" s="72"/>
      <c r="D30" s="72"/>
      <c r="E30" s="72"/>
    </row>
    <row r="31" spans="1:6" ht="21.95" customHeight="1" x14ac:dyDescent="0.25">
      <c r="B31" s="9" t="s">
        <v>150</v>
      </c>
      <c r="C31" s="12">
        <f>IF(AND(ISNUMBER(C5),ISNUMBER(C6),C28&gt;0),C5*(1+C6)^C28,"")</f>
        <v>16274.139469144817</v>
      </c>
      <c r="D31" s="71" t="str">
        <f>"Balance after day "&amp;C28&amp;" of compounding"</f>
        <v>Balance after day 95 of compounding</v>
      </c>
      <c r="E31" s="72"/>
    </row>
    <row r="32" spans="1:6" ht="21.95" customHeight="1" x14ac:dyDescent="0.25">
      <c r="B32" s="2" t="s">
        <v>151</v>
      </c>
      <c r="C32" s="59">
        <f>IF(ISNUMBER(C5*(1+C6)^C28),(C5*(1+C6)^C28)*C6,"")</f>
        <v>203.42674336431023</v>
      </c>
      <c r="D32" s="71" t="s">
        <v>152</v>
      </c>
      <c r="E32" s="72"/>
    </row>
    <row r="33" spans="1:6" ht="21.95" customHeight="1" x14ac:dyDescent="0.25">
      <c r="B33" s="2" t="s">
        <v>153</v>
      </c>
      <c r="C33" s="59">
        <f>IF(ISNUMBER(C5*(1+C6)^C28),(C5*(1+C6)^C28)*((1+C6)^7-1),"")</f>
        <v>1478.5132245423863</v>
      </c>
      <c r="D33" s="71" t="s">
        <v>154</v>
      </c>
      <c r="E33" s="72"/>
    </row>
    <row r="34" spans="1:6" ht="21.95" customHeight="1" x14ac:dyDescent="0.25">
      <c r="B34" s="9" t="s">
        <v>155</v>
      </c>
      <c r="C34" s="13">
        <f>IF(ISNUMBER(C5*(1+C6)^C28),(C5*(1+C6)^C28)*((1+C6)^30-1),"")</f>
        <v>7349.6188068854226</v>
      </c>
      <c r="D34" s="71" t="s">
        <v>156</v>
      </c>
      <c r="E34" s="72"/>
    </row>
    <row r="35" spans="1:6" ht="21.95" customHeight="1" x14ac:dyDescent="0.25">
      <c r="B35" s="92" t="s">
        <v>157</v>
      </c>
      <c r="C35" s="93"/>
      <c r="D35" s="93"/>
      <c r="E35" s="93"/>
    </row>
    <row r="36" spans="1:6" ht="21.95" customHeight="1" x14ac:dyDescent="0.25">
      <c r="B36" s="2" t="s">
        <v>158</v>
      </c>
      <c r="C36" s="60">
        <f>IF(C6&gt;0,(1+C6)^365-1,0)</f>
        <v>92.15081063448666</v>
      </c>
      <c r="D36" s="71" t="s">
        <v>159</v>
      </c>
      <c r="E36" s="72"/>
    </row>
    <row r="37" spans="1:6" ht="8.1" customHeight="1" x14ac:dyDescent="0.25">
      <c r="A37" s="58"/>
      <c r="B37" s="58"/>
      <c r="C37" s="58"/>
      <c r="D37" s="58"/>
      <c r="E37" s="58"/>
      <c r="F37" s="58"/>
    </row>
    <row r="38" spans="1:6" ht="44.1" customHeight="1" x14ac:dyDescent="0.25">
      <c r="B38" s="95" t="s">
        <v>160</v>
      </c>
      <c r="C38" s="78"/>
      <c r="D38" s="78"/>
      <c r="E38" s="79"/>
    </row>
    <row r="44" spans="1:6" x14ac:dyDescent="0.25">
      <c r="B44" s="1" t="s">
        <v>161</v>
      </c>
    </row>
    <row r="45" spans="1:6" ht="45" customHeight="1" x14ac:dyDescent="0.3">
      <c r="B45" s="16" t="s">
        <v>40</v>
      </c>
      <c r="C45" s="17" t="s">
        <v>162</v>
      </c>
    </row>
    <row r="46" spans="1:6" ht="45" customHeight="1" x14ac:dyDescent="0.3">
      <c r="B46" s="18" t="s">
        <v>40</v>
      </c>
      <c r="C46" s="17" t="s">
        <v>163</v>
      </c>
    </row>
    <row r="47" spans="1:6" ht="45" customHeight="1" x14ac:dyDescent="0.3">
      <c r="B47" s="19" t="s">
        <v>40</v>
      </c>
      <c r="C47" s="17" t="s">
        <v>164</v>
      </c>
    </row>
    <row r="48" spans="1:6" ht="30" customHeight="1" x14ac:dyDescent="0.3">
      <c r="B48" s="20" t="s">
        <v>40</v>
      </c>
      <c r="C48" s="17" t="s">
        <v>165</v>
      </c>
    </row>
    <row r="49" spans="2:7" ht="30" customHeight="1" x14ac:dyDescent="0.3">
      <c r="B49" s="21" t="s">
        <v>40</v>
      </c>
      <c r="C49" s="17" t="s">
        <v>166</v>
      </c>
    </row>
    <row r="50" spans="2:7" ht="30" customHeight="1" x14ac:dyDescent="0.3">
      <c r="B50" s="22" t="s">
        <v>40</v>
      </c>
      <c r="C50" s="17" t="s">
        <v>167</v>
      </c>
    </row>
    <row r="53" spans="2:7" ht="110.1" customHeight="1" x14ac:dyDescent="0.25">
      <c r="B53" s="77" t="s">
        <v>35</v>
      </c>
      <c r="C53" s="78"/>
      <c r="D53" s="78"/>
      <c r="E53" s="78"/>
      <c r="F53" s="78"/>
      <c r="G53" s="79"/>
    </row>
  </sheetData>
  <mergeCells count="24">
    <mergeCell ref="A1:G1"/>
    <mergeCell ref="D7:E7"/>
    <mergeCell ref="D28:E28"/>
    <mergeCell ref="D9:E9"/>
    <mergeCell ref="D8:E8"/>
    <mergeCell ref="B13:E13"/>
    <mergeCell ref="D5:E5"/>
    <mergeCell ref="A2:G2"/>
    <mergeCell ref="B19:E19"/>
    <mergeCell ref="B53:G53"/>
    <mergeCell ref="D6:E6"/>
    <mergeCell ref="B26:E26"/>
    <mergeCell ref="B35:E35"/>
    <mergeCell ref="B4:E4"/>
    <mergeCell ref="D11:E11"/>
    <mergeCell ref="D32:E32"/>
    <mergeCell ref="B27:E27"/>
    <mergeCell ref="D33:E33"/>
    <mergeCell ref="B38:E38"/>
    <mergeCell ref="D10:E10"/>
    <mergeCell ref="D34:E34"/>
    <mergeCell ref="B30:E30"/>
    <mergeCell ref="D36:E36"/>
    <mergeCell ref="D31:E31"/>
  </mergeCells>
  <hyperlinks>
    <hyperlink ref="A2" r:id="rId1" xr:uid="{00000000-0004-0000-0100-000000000000}"/>
  </hyperlinks>
  <pageMargins left="0.75" right="0.75" top="1" bottom="1" header="0.5" footer="0.5"/>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0"/>
  <sheetViews>
    <sheetView workbookViewId="0">
      <selection activeCell="L13" sqref="L13"/>
    </sheetView>
  </sheetViews>
  <sheetFormatPr defaultRowHeight="15" x14ac:dyDescent="0.25"/>
  <cols>
    <col min="1" max="1" width="1" customWidth="1"/>
    <col min="2" max="2" width="32" customWidth="1"/>
    <col min="3" max="3" width="22.42578125" customWidth="1"/>
    <col min="4" max="4" width="20" customWidth="1"/>
    <col min="5" max="5" width="25.7109375" customWidth="1"/>
    <col min="6" max="6" width="32.42578125" customWidth="1"/>
    <col min="7" max="7" width="8.28515625" hidden="1" customWidth="1"/>
  </cols>
  <sheetData>
    <row r="1" spans="1:7" ht="36" customHeight="1" x14ac:dyDescent="0.25">
      <c r="A1" s="73" t="s">
        <v>168</v>
      </c>
      <c r="B1" s="72"/>
      <c r="C1" s="72"/>
      <c r="D1" s="72"/>
      <c r="E1" s="72"/>
      <c r="F1" s="72"/>
      <c r="G1" s="72"/>
    </row>
    <row r="2" spans="1:7" ht="15.95" customHeight="1" x14ac:dyDescent="0.25">
      <c r="A2" s="76" t="s">
        <v>1</v>
      </c>
      <c r="B2" s="72"/>
      <c r="C2" s="72"/>
      <c r="D2" s="72"/>
      <c r="E2" s="72"/>
      <c r="F2" s="72"/>
      <c r="G2" s="72"/>
    </row>
    <row r="4" spans="1:7" ht="30" customHeight="1" x14ac:dyDescent="0.25">
      <c r="B4" s="75" t="s">
        <v>169</v>
      </c>
      <c r="C4" s="72"/>
      <c r="D4" s="72"/>
      <c r="E4" s="72"/>
      <c r="F4" s="72"/>
    </row>
    <row r="6" spans="1:7" ht="20.100000000000001" customHeight="1" x14ac:dyDescent="0.25">
      <c r="B6" s="74" t="s">
        <v>3</v>
      </c>
      <c r="C6" s="72"/>
      <c r="D6" s="72"/>
      <c r="E6" s="72"/>
      <c r="F6" s="97"/>
    </row>
    <row r="7" spans="1:7" ht="24" customHeight="1" x14ac:dyDescent="0.25">
      <c r="B7" s="2" t="s">
        <v>170</v>
      </c>
      <c r="C7" s="3">
        <v>10000</v>
      </c>
      <c r="D7" s="71" t="s">
        <v>171</v>
      </c>
      <c r="E7" s="72"/>
      <c r="F7" s="72"/>
    </row>
    <row r="8" spans="1:7" ht="24" customHeight="1" x14ac:dyDescent="0.25">
      <c r="B8" s="2" t="s">
        <v>6</v>
      </c>
      <c r="C8" s="4">
        <v>7.7000000000000002E-3</v>
      </c>
      <c r="D8" s="71" t="s">
        <v>7</v>
      </c>
      <c r="E8" s="72"/>
      <c r="F8" s="72"/>
    </row>
    <row r="10" spans="1:7" ht="20.100000000000001" customHeight="1" x14ac:dyDescent="0.25">
      <c r="B10" s="74" t="s">
        <v>140</v>
      </c>
      <c r="C10" s="72"/>
      <c r="D10" s="72"/>
      <c r="E10" s="72"/>
      <c r="F10" s="97"/>
    </row>
    <row r="11" spans="1:7" ht="21.95" customHeight="1" x14ac:dyDescent="0.25">
      <c r="B11" s="2" t="s">
        <v>172</v>
      </c>
      <c r="C11" s="11">
        <f>IF(C8&gt;0,(1+C8)^30-1,0)</f>
        <v>0.25874499531556094</v>
      </c>
    </row>
    <row r="12" spans="1:7" ht="21.95" customHeight="1" x14ac:dyDescent="0.25">
      <c r="B12" s="9" t="s">
        <v>22</v>
      </c>
      <c r="C12" s="10">
        <f>IF(C8&gt;0,(1+C8)^365-1,0)</f>
        <v>15.440286246108158</v>
      </c>
    </row>
    <row r="13" spans="1:7" ht="21.95" customHeight="1" x14ac:dyDescent="0.25">
      <c r="B13" s="9" t="s">
        <v>173</v>
      </c>
      <c r="C13" s="12">
        <f>IF(C11&gt;0,C7/C11,0)</f>
        <v>38648.090517863631</v>
      </c>
    </row>
    <row r="14" spans="1:7" ht="21.95" customHeight="1" x14ac:dyDescent="0.25">
      <c r="B14" s="9" t="s">
        <v>174</v>
      </c>
      <c r="C14" s="13">
        <f>C7*12</f>
        <v>120000</v>
      </c>
    </row>
    <row r="15" spans="1:7" ht="21.95" customHeight="1" x14ac:dyDescent="0.25">
      <c r="B15" s="2" t="s">
        <v>175</v>
      </c>
      <c r="C15" s="14">
        <f>IF(C13&gt;0,C13*C8,0)</f>
        <v>297.59029698754995</v>
      </c>
    </row>
    <row r="17" spans="2:7" ht="20.100000000000001" customHeight="1" x14ac:dyDescent="0.25">
      <c r="B17" s="74" t="s">
        <v>176</v>
      </c>
      <c r="C17" s="72"/>
      <c r="D17" s="72"/>
      <c r="E17" s="72"/>
      <c r="F17" s="72"/>
    </row>
    <row r="18" spans="2:7" ht="21.95" customHeight="1" x14ac:dyDescent="0.25">
      <c r="B18" s="23" t="s">
        <v>177</v>
      </c>
      <c r="C18" s="23" t="s">
        <v>22</v>
      </c>
      <c r="D18" s="23" t="s">
        <v>178</v>
      </c>
      <c r="E18" s="23" t="s">
        <v>200</v>
      </c>
      <c r="F18" s="23" t="s">
        <v>201</v>
      </c>
    </row>
    <row r="19" spans="2:7" ht="20.100000000000001" customHeight="1" x14ac:dyDescent="0.25">
      <c r="B19" s="24">
        <v>1E-3</v>
      </c>
      <c r="C19" s="25">
        <f t="shared" ref="C19:C27" si="0">(1+B19)^365-1</f>
        <v>0.44025131342950696</v>
      </c>
      <c r="D19" s="26">
        <f t="shared" ref="D19:D27" si="1">IF((1+B19)^30-1&gt;0,$C$7/((1+B19)^30-1),0)</f>
        <v>328524.9593700454</v>
      </c>
      <c r="E19" s="27">
        <f t="shared" ref="E19:E27" si="2">$C$7</f>
        <v>10000</v>
      </c>
      <c r="F19" s="28">
        <f t="shared" ref="F19:F27" si="3">$C$7*12</f>
        <v>120000</v>
      </c>
    </row>
    <row r="20" spans="2:7" ht="20.100000000000001" customHeight="1" x14ac:dyDescent="0.25">
      <c r="B20" s="29">
        <v>2E-3</v>
      </c>
      <c r="C20" s="30">
        <f t="shared" si="0"/>
        <v>1.0735683668508744</v>
      </c>
      <c r="D20" s="31">
        <f t="shared" si="1"/>
        <v>161883.2249090673</v>
      </c>
      <c r="E20" s="32">
        <f t="shared" si="2"/>
        <v>10000</v>
      </c>
      <c r="F20" s="33">
        <f t="shared" si="3"/>
        <v>120000</v>
      </c>
    </row>
    <row r="21" spans="2:7" ht="20.100000000000001" customHeight="1" x14ac:dyDescent="0.25">
      <c r="B21" s="24">
        <v>3.0000000000000001E-3</v>
      </c>
      <c r="C21" s="25">
        <f t="shared" si="0"/>
        <v>1.9842867621081113</v>
      </c>
      <c r="D21" s="26">
        <f t="shared" si="1"/>
        <v>106352.5722160485</v>
      </c>
      <c r="E21" s="27">
        <f t="shared" si="2"/>
        <v>10000</v>
      </c>
      <c r="F21" s="28">
        <f t="shared" si="3"/>
        <v>120000</v>
      </c>
    </row>
    <row r="22" spans="2:7" ht="20.100000000000001" customHeight="1" x14ac:dyDescent="0.25">
      <c r="B22" s="29">
        <v>3.5000000000000001E-3</v>
      </c>
      <c r="C22" s="30">
        <f t="shared" si="0"/>
        <v>2.5796662786143618</v>
      </c>
      <c r="D22" s="31">
        <f t="shared" si="1"/>
        <v>90491.996093782189</v>
      </c>
      <c r="E22" s="32">
        <f t="shared" si="2"/>
        <v>10000</v>
      </c>
      <c r="F22" s="33">
        <f t="shared" si="3"/>
        <v>120000</v>
      </c>
    </row>
    <row r="23" spans="2:7" ht="20.100000000000001" customHeight="1" x14ac:dyDescent="0.25">
      <c r="B23" s="24">
        <v>5.0000000000000001E-3</v>
      </c>
      <c r="C23" s="25">
        <f t="shared" si="0"/>
        <v>5.1746527834309033</v>
      </c>
      <c r="D23" s="26">
        <f t="shared" si="1"/>
        <v>61957.83682765808</v>
      </c>
      <c r="E23" s="27">
        <f t="shared" si="2"/>
        <v>10000</v>
      </c>
      <c r="F23" s="28">
        <f t="shared" si="3"/>
        <v>120000</v>
      </c>
    </row>
    <row r="24" spans="2:7" ht="20.100000000000001" customHeight="1" x14ac:dyDescent="0.25">
      <c r="B24" s="29">
        <v>7.0000000000000001E-3</v>
      </c>
      <c r="C24" s="30">
        <f t="shared" si="0"/>
        <v>11.757240768182193</v>
      </c>
      <c r="D24" s="31">
        <f t="shared" si="1"/>
        <v>42959.783709424555</v>
      </c>
      <c r="E24" s="32">
        <f t="shared" si="2"/>
        <v>10000</v>
      </c>
      <c r="F24" s="33">
        <f t="shared" si="3"/>
        <v>120000</v>
      </c>
    </row>
    <row r="25" spans="2:7" ht="20.100000000000001" customHeight="1" x14ac:dyDescent="0.25">
      <c r="B25" s="24">
        <v>0.01</v>
      </c>
      <c r="C25" s="25">
        <f t="shared" si="0"/>
        <v>36.783434332887317</v>
      </c>
      <c r="D25" s="26">
        <f t="shared" si="1"/>
        <v>28748.113215847094</v>
      </c>
      <c r="E25" s="27">
        <f t="shared" si="2"/>
        <v>10000</v>
      </c>
      <c r="F25" s="28">
        <f t="shared" si="3"/>
        <v>120000</v>
      </c>
    </row>
    <row r="26" spans="2:7" ht="20.100000000000001" customHeight="1" x14ac:dyDescent="0.25">
      <c r="B26" s="29">
        <v>1.2E-2</v>
      </c>
      <c r="C26" s="30">
        <f t="shared" si="0"/>
        <v>76.783425280849912</v>
      </c>
      <c r="D26" s="31">
        <f t="shared" si="1"/>
        <v>23241.692804992374</v>
      </c>
      <c r="E26" s="32">
        <f t="shared" si="2"/>
        <v>10000</v>
      </c>
      <c r="F26" s="33">
        <f t="shared" si="3"/>
        <v>120000</v>
      </c>
    </row>
    <row r="27" spans="2:7" ht="20.100000000000001" customHeight="1" x14ac:dyDescent="0.25">
      <c r="B27" s="24">
        <v>1.4999999999999999E-2</v>
      </c>
      <c r="C27" s="25">
        <f t="shared" si="0"/>
        <v>228.14238072047502</v>
      </c>
      <c r="D27" s="26">
        <f t="shared" si="1"/>
        <v>17759.458841020522</v>
      </c>
      <c r="E27" s="27">
        <f t="shared" si="2"/>
        <v>10000</v>
      </c>
      <c r="F27" s="28">
        <f t="shared" si="3"/>
        <v>120000</v>
      </c>
    </row>
    <row r="30" spans="2:7" ht="110.1" customHeight="1" x14ac:dyDescent="0.25">
      <c r="B30" s="77" t="s">
        <v>35</v>
      </c>
      <c r="C30" s="78"/>
      <c r="D30" s="78"/>
      <c r="E30" s="78"/>
      <c r="F30" s="78"/>
      <c r="G30" s="79"/>
    </row>
  </sheetData>
  <mergeCells count="9">
    <mergeCell ref="B4:F4"/>
    <mergeCell ref="A1:G1"/>
    <mergeCell ref="B30:G30"/>
    <mergeCell ref="B6:E6"/>
    <mergeCell ref="A2:G2"/>
    <mergeCell ref="D7:F7"/>
    <mergeCell ref="D8:F8"/>
    <mergeCell ref="B17:F17"/>
    <mergeCell ref="B10:E10"/>
  </mergeCells>
  <hyperlinks>
    <hyperlink ref="A2" r:id="rId1" xr:uid="{00000000-0004-0000-0200-000000000000}"/>
  </hyperlinks>
  <pageMargins left="0.75" right="0.75" top="1" bottom="1" header="0.5" footer="0.5"/>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1"/>
  <sheetViews>
    <sheetView workbookViewId="0">
      <selection activeCell="D17" sqref="D17"/>
    </sheetView>
  </sheetViews>
  <sheetFormatPr defaultRowHeight="15" x14ac:dyDescent="0.25"/>
  <cols>
    <col min="1" max="1" width="1" customWidth="1"/>
    <col min="2" max="2" width="37" customWidth="1"/>
    <col min="3" max="5" width="20" customWidth="1"/>
    <col min="6" max="6" width="24.5703125" customWidth="1"/>
    <col min="7" max="7" width="20" hidden="1" customWidth="1"/>
    <col min="8" max="8" width="1" customWidth="1"/>
  </cols>
  <sheetData>
    <row r="1" spans="1:7" ht="36" customHeight="1" x14ac:dyDescent="0.25">
      <c r="A1" s="73" t="s">
        <v>179</v>
      </c>
      <c r="B1" s="72"/>
      <c r="C1" s="72"/>
      <c r="D1" s="72"/>
      <c r="E1" s="72"/>
      <c r="F1" s="72"/>
      <c r="G1" s="72"/>
    </row>
    <row r="2" spans="1:7" ht="15.95" customHeight="1" x14ac:dyDescent="0.25">
      <c r="A2" s="76" t="s">
        <v>1</v>
      </c>
      <c r="B2" s="72"/>
      <c r="C2" s="72"/>
      <c r="D2" s="72"/>
      <c r="E2" s="72"/>
      <c r="F2" s="72"/>
      <c r="G2" s="72"/>
    </row>
    <row r="4" spans="1:7" ht="27.95" customHeight="1" x14ac:dyDescent="0.25">
      <c r="B4" s="75" t="s">
        <v>180</v>
      </c>
      <c r="C4" s="72"/>
      <c r="D4" s="72"/>
      <c r="E4" s="72"/>
      <c r="F4" s="72"/>
      <c r="G4" s="72"/>
    </row>
    <row r="6" spans="1:7" ht="20.100000000000001" customHeight="1" x14ac:dyDescent="0.25">
      <c r="B6" s="74" t="s">
        <v>3</v>
      </c>
      <c r="C6" s="72"/>
      <c r="D6" s="72"/>
      <c r="E6" s="72"/>
      <c r="F6" s="72"/>
    </row>
    <row r="7" spans="1:7" ht="24" customHeight="1" x14ac:dyDescent="0.25">
      <c r="B7" s="2" t="s">
        <v>4</v>
      </c>
      <c r="C7" s="3">
        <v>5000</v>
      </c>
      <c r="D7" s="71" t="s">
        <v>5</v>
      </c>
      <c r="E7" s="72"/>
      <c r="F7" s="72"/>
    </row>
    <row r="8" spans="1:7" ht="24" customHeight="1" x14ac:dyDescent="0.25">
      <c r="B8" s="2" t="s">
        <v>6</v>
      </c>
      <c r="C8" s="4">
        <v>1.2500000000000001E-2</v>
      </c>
      <c r="D8" s="71" t="s">
        <v>7</v>
      </c>
      <c r="E8" s="72"/>
      <c r="F8" s="72"/>
    </row>
    <row r="9" spans="1:7" ht="24" customHeight="1" x14ac:dyDescent="0.25">
      <c r="B9" s="2" t="s">
        <v>8</v>
      </c>
      <c r="C9" s="6">
        <v>46132</v>
      </c>
      <c r="D9" s="71" t="s">
        <v>181</v>
      </c>
      <c r="E9" s="72"/>
      <c r="F9" s="72"/>
    </row>
    <row r="10" spans="1:7" ht="24" customHeight="1" x14ac:dyDescent="0.25">
      <c r="B10" s="2" t="s">
        <v>10</v>
      </c>
      <c r="C10" s="6">
        <v>46207</v>
      </c>
      <c r="D10" s="71" t="s">
        <v>182</v>
      </c>
      <c r="E10" s="72"/>
      <c r="F10" s="72"/>
    </row>
    <row r="11" spans="1:7" ht="24" customHeight="1" x14ac:dyDescent="0.25">
      <c r="B11" s="2" t="s">
        <v>14</v>
      </c>
      <c r="C11" s="34" t="s">
        <v>15</v>
      </c>
      <c r="D11" s="71" t="s">
        <v>16</v>
      </c>
      <c r="E11" s="72"/>
      <c r="F11" s="72"/>
    </row>
    <row r="13" spans="1:7" ht="20.100000000000001" customHeight="1" x14ac:dyDescent="0.25">
      <c r="B13" s="74" t="s">
        <v>19</v>
      </c>
      <c r="C13" s="72"/>
      <c r="D13" s="72"/>
      <c r="E13" s="72"/>
      <c r="F13" s="72"/>
    </row>
    <row r="14" spans="1:7" ht="21.95" customHeight="1" x14ac:dyDescent="0.25">
      <c r="B14" s="2" t="s">
        <v>20</v>
      </c>
      <c r="C14" s="35">
        <f>IF(AND(ISNUMBER(C9),ISNUMBER(C10)),MAX(0,C10-C9),"")</f>
        <v>75</v>
      </c>
    </row>
    <row r="15" spans="1:7" ht="21.95" customHeight="1" x14ac:dyDescent="0.25">
      <c r="B15" s="9" t="s">
        <v>21</v>
      </c>
      <c r="C15" s="12">
        <f>IF(ISNUMBER(C14),C7*(1+C8)^C14,"")</f>
        <v>12693.967902520344</v>
      </c>
    </row>
    <row r="16" spans="1:7" ht="21.95" customHeight="1" x14ac:dyDescent="0.25">
      <c r="B16" s="2" t="s">
        <v>22</v>
      </c>
      <c r="C16" s="36">
        <f>IF(C8&gt;0,(1+C8)^365-1,0)</f>
        <v>92.15081063448666</v>
      </c>
    </row>
    <row r="17" spans="2:7" ht="21.95" customHeight="1" x14ac:dyDescent="0.25">
      <c r="B17" s="2" t="s">
        <v>183</v>
      </c>
      <c r="C17" s="37">
        <f>IF(ISNUMBER(C15),C15*C8,"")</f>
        <v>158.6745987815043</v>
      </c>
    </row>
    <row r="18" spans="2:7" ht="21.95" customHeight="1" x14ac:dyDescent="0.25">
      <c r="B18" s="2" t="s">
        <v>184</v>
      </c>
      <c r="C18" s="37">
        <f>IF(ISNUMBER(C15),C15*((1+C8)^7-1),"")</f>
        <v>1153.2529539504524</v>
      </c>
    </row>
    <row r="19" spans="2:7" ht="21.95" customHeight="1" x14ac:dyDescent="0.25">
      <c r="B19" s="9" t="s">
        <v>185</v>
      </c>
      <c r="C19" s="13">
        <f>IF(ISNUMBER(C15),C15*((1+C8)^30-1),"")</f>
        <v>5732.7654962800916</v>
      </c>
    </row>
    <row r="20" spans="2:7" ht="21.95" customHeight="1" x14ac:dyDescent="0.25">
      <c r="B20" s="2" t="s">
        <v>186</v>
      </c>
      <c r="C20" s="37">
        <f>IF(ISNUMBER(C15),C15*((1+C8)^365-1),"")</f>
        <v>1169759.4323854041</v>
      </c>
    </row>
    <row r="22" spans="2:7" ht="20.100000000000001" customHeight="1" x14ac:dyDescent="0.25">
      <c r="B22" s="74" t="s">
        <v>187</v>
      </c>
      <c r="C22" s="72"/>
      <c r="D22" s="72"/>
      <c r="E22" s="72"/>
      <c r="F22" s="72"/>
    </row>
    <row r="23" spans="2:7" ht="30" customHeight="1" x14ac:dyDescent="0.25">
      <c r="B23" s="96" t="s">
        <v>188</v>
      </c>
      <c r="C23" s="72"/>
      <c r="D23" s="38">
        <f>IF(C11="Daily",C17,IF(C11="Weekly",C18,IF(C11="Monthly",C19,IF(C11="Annually",C20,""))))</f>
        <v>5732.7654962800916</v>
      </c>
    </row>
    <row r="24" spans="2:7" x14ac:dyDescent="0.25">
      <c r="B24" s="71" t="s">
        <v>189</v>
      </c>
      <c r="C24" s="72"/>
      <c r="D24" s="72"/>
      <c r="E24" s="72"/>
      <c r="F24" s="72"/>
    </row>
    <row r="26" spans="2:7" ht="20.100000000000001" customHeight="1" x14ac:dyDescent="0.25">
      <c r="B26" s="74" t="s">
        <v>190</v>
      </c>
      <c r="C26" s="72"/>
      <c r="D26" s="72"/>
      <c r="E26" s="72"/>
      <c r="F26" s="72"/>
      <c r="G26" s="72"/>
    </row>
    <row r="27" spans="2:7" ht="21.95" customHeight="1" x14ac:dyDescent="0.25">
      <c r="B27" s="23" t="s">
        <v>29</v>
      </c>
      <c r="C27" s="23" t="s">
        <v>30</v>
      </c>
      <c r="D27" s="23" t="s">
        <v>31</v>
      </c>
      <c r="E27" s="23" t="s">
        <v>191</v>
      </c>
      <c r="F27" s="23" t="s">
        <v>33</v>
      </c>
      <c r="G27" s="23" t="s">
        <v>192</v>
      </c>
    </row>
    <row r="28" spans="2:7" ht="20.100000000000001" customHeight="1" x14ac:dyDescent="0.25">
      <c r="B28" s="39" t="str">
        <f>IF($C$11="Daily","Day 1",IF($C$11="Weekly","Week 1",IF($C$11="Monthly","Month 1","Year 1")))</f>
        <v>Month 1</v>
      </c>
      <c r="C28" s="32">
        <f>IF(ISNUMBER(C15),C15,"")</f>
        <v>12693.967902520344</v>
      </c>
      <c r="D28" s="33">
        <f t="shared" ref="D28:D39" si="0">IF(ISNUMBER(C28),C28*IF($C$11="Daily",$C$8,IF($C$11="Weekly",(1+$C$8)^7-1,IF($C$11="Monthly",(1+$C$8)^30-1,(1+$C$8)^365-1))),"")</f>
        <v>5732.7654962800916</v>
      </c>
      <c r="E28" s="40">
        <f t="shared" ref="E28:E39" si="1">IF(ISNUMBER(D28),D28,"")</f>
        <v>5732.7654962800916</v>
      </c>
      <c r="F28" s="41">
        <f t="shared" ref="F28:F39" si="2">IF(AND(ISNUMBER(C28),ISNUMBER(D28)),C28+D28-E28,"")</f>
        <v>12693.967902520344</v>
      </c>
      <c r="G28" s="40">
        <f>IF(ISNUMBER(E28),E28,"")</f>
        <v>5732.7654962800916</v>
      </c>
    </row>
    <row r="29" spans="2:7" ht="20.100000000000001" customHeight="1" x14ac:dyDescent="0.25">
      <c r="B29" s="42" t="str">
        <f>IF($C$11="Daily","Day 2",IF($C$11="Weekly","Week 2",IF($C$11="Monthly","Month 2","Year 2")))</f>
        <v>Month 2</v>
      </c>
      <c r="C29" s="27">
        <f t="shared" ref="C29:C39" si="3">IF(ISNUMBER(F28),F28,"")</f>
        <v>12693.967902520344</v>
      </c>
      <c r="D29" s="28">
        <f t="shared" si="0"/>
        <v>5732.7654962800916</v>
      </c>
      <c r="E29" s="43">
        <f t="shared" si="1"/>
        <v>5732.7654962800916</v>
      </c>
      <c r="F29" s="44">
        <f t="shared" si="2"/>
        <v>12693.967902520344</v>
      </c>
      <c r="G29" s="43">
        <f t="shared" ref="G29:G39" si="4">IF(ISNUMBER(E29),G28+E29,"")</f>
        <v>11465.530992560183</v>
      </c>
    </row>
    <row r="30" spans="2:7" ht="20.100000000000001" customHeight="1" x14ac:dyDescent="0.25">
      <c r="B30" s="39" t="str">
        <f>IF($C$11="Daily","Day 3",IF($C$11="Weekly","Week 3",IF($C$11="Monthly","Month 3","Year 3")))</f>
        <v>Month 3</v>
      </c>
      <c r="C30" s="32">
        <f t="shared" si="3"/>
        <v>12693.967902520344</v>
      </c>
      <c r="D30" s="33">
        <f t="shared" si="0"/>
        <v>5732.7654962800916</v>
      </c>
      <c r="E30" s="40">
        <f t="shared" si="1"/>
        <v>5732.7654962800916</v>
      </c>
      <c r="F30" s="41">
        <f t="shared" si="2"/>
        <v>12693.967902520344</v>
      </c>
      <c r="G30" s="40">
        <f t="shared" si="4"/>
        <v>17198.296488840275</v>
      </c>
    </row>
    <row r="31" spans="2:7" ht="20.100000000000001" customHeight="1" x14ac:dyDescent="0.25">
      <c r="B31" s="42" t="str">
        <f>IF($C$11="Daily","Day 4",IF($C$11="Weekly","Week 4",IF($C$11="Monthly","Month 4","Year 4")))</f>
        <v>Month 4</v>
      </c>
      <c r="C31" s="27">
        <f t="shared" si="3"/>
        <v>12693.967902520344</v>
      </c>
      <c r="D31" s="28">
        <f t="shared" si="0"/>
        <v>5732.7654962800916</v>
      </c>
      <c r="E31" s="43">
        <f t="shared" si="1"/>
        <v>5732.7654962800916</v>
      </c>
      <c r="F31" s="44">
        <f t="shared" si="2"/>
        <v>12693.967902520344</v>
      </c>
      <c r="G31" s="43">
        <f t="shared" si="4"/>
        <v>22931.061985120366</v>
      </c>
    </row>
    <row r="32" spans="2:7" ht="20.100000000000001" customHeight="1" x14ac:dyDescent="0.25">
      <c r="B32" s="39" t="str">
        <f>IF($C$11="Daily","Day 5",IF($C$11="Weekly","Week 5",IF($C$11="Monthly","Month 5","Year 5")))</f>
        <v>Month 5</v>
      </c>
      <c r="C32" s="32">
        <f t="shared" si="3"/>
        <v>12693.967902520344</v>
      </c>
      <c r="D32" s="33">
        <f t="shared" si="0"/>
        <v>5732.7654962800916</v>
      </c>
      <c r="E32" s="40">
        <f t="shared" si="1"/>
        <v>5732.7654962800916</v>
      </c>
      <c r="F32" s="41">
        <f t="shared" si="2"/>
        <v>12693.967902520344</v>
      </c>
      <c r="G32" s="40">
        <f t="shared" si="4"/>
        <v>28663.827481400458</v>
      </c>
    </row>
    <row r="33" spans="2:7" ht="20.100000000000001" customHeight="1" x14ac:dyDescent="0.25">
      <c r="B33" s="42" t="str">
        <f>IF($C$11="Daily","Day 6",IF($C$11="Weekly","Week 6",IF($C$11="Monthly","Month 6","Year 6")))</f>
        <v>Month 6</v>
      </c>
      <c r="C33" s="27">
        <f t="shared" si="3"/>
        <v>12693.967902520344</v>
      </c>
      <c r="D33" s="28">
        <f t="shared" si="0"/>
        <v>5732.7654962800916</v>
      </c>
      <c r="E33" s="43">
        <f t="shared" si="1"/>
        <v>5732.7654962800916</v>
      </c>
      <c r="F33" s="44">
        <f t="shared" si="2"/>
        <v>12693.967902520344</v>
      </c>
      <c r="G33" s="43">
        <f t="shared" si="4"/>
        <v>34396.59297768055</v>
      </c>
    </row>
    <row r="34" spans="2:7" ht="20.100000000000001" customHeight="1" x14ac:dyDescent="0.25">
      <c r="B34" s="39" t="str">
        <f>IF($C$11="Daily","Day 7",IF($C$11="Weekly","Week 7",IF($C$11="Monthly","Month 7","Year 7")))</f>
        <v>Month 7</v>
      </c>
      <c r="C34" s="32">
        <f t="shared" si="3"/>
        <v>12693.967902520344</v>
      </c>
      <c r="D34" s="33">
        <f t="shared" si="0"/>
        <v>5732.7654962800916</v>
      </c>
      <c r="E34" s="40">
        <f t="shared" si="1"/>
        <v>5732.7654962800916</v>
      </c>
      <c r="F34" s="41">
        <f t="shared" si="2"/>
        <v>12693.967902520344</v>
      </c>
      <c r="G34" s="40">
        <f t="shared" si="4"/>
        <v>40129.358473960645</v>
      </c>
    </row>
    <row r="35" spans="2:7" ht="20.100000000000001" customHeight="1" x14ac:dyDescent="0.25">
      <c r="B35" s="42" t="str">
        <f>IF($C$11="Daily","Day 8",IF($C$11="Weekly","Week 8",IF($C$11="Monthly","Month 8","Year 8")))</f>
        <v>Month 8</v>
      </c>
      <c r="C35" s="27">
        <f t="shared" si="3"/>
        <v>12693.967902520344</v>
      </c>
      <c r="D35" s="28">
        <f t="shared" si="0"/>
        <v>5732.7654962800916</v>
      </c>
      <c r="E35" s="43">
        <f t="shared" si="1"/>
        <v>5732.7654962800916</v>
      </c>
      <c r="F35" s="44">
        <f t="shared" si="2"/>
        <v>12693.967902520344</v>
      </c>
      <c r="G35" s="43">
        <f t="shared" si="4"/>
        <v>45862.123970240733</v>
      </c>
    </row>
    <row r="36" spans="2:7" ht="20.100000000000001" customHeight="1" x14ac:dyDescent="0.25">
      <c r="B36" s="39" t="str">
        <f>IF($C$11="Daily","Day 9",IF($C$11="Weekly","Week 9",IF($C$11="Monthly","Month 9","Year 9")))</f>
        <v>Month 9</v>
      </c>
      <c r="C36" s="32">
        <f t="shared" si="3"/>
        <v>12693.967902520344</v>
      </c>
      <c r="D36" s="33">
        <f t="shared" si="0"/>
        <v>5732.7654962800916</v>
      </c>
      <c r="E36" s="40">
        <f t="shared" si="1"/>
        <v>5732.7654962800916</v>
      </c>
      <c r="F36" s="41">
        <f t="shared" si="2"/>
        <v>12693.967902520344</v>
      </c>
      <c r="G36" s="40">
        <f t="shared" si="4"/>
        <v>51594.889466520821</v>
      </c>
    </row>
    <row r="37" spans="2:7" ht="20.100000000000001" customHeight="1" x14ac:dyDescent="0.25">
      <c r="B37" s="42" t="str">
        <f>IF($C$11="Daily","Day 10",IF($C$11="Weekly","Week 10",IF($C$11="Monthly","Month 10","Year 10")))</f>
        <v>Month 10</v>
      </c>
      <c r="C37" s="27">
        <f t="shared" si="3"/>
        <v>12693.967902520344</v>
      </c>
      <c r="D37" s="28">
        <f t="shared" si="0"/>
        <v>5732.7654962800916</v>
      </c>
      <c r="E37" s="43">
        <f t="shared" si="1"/>
        <v>5732.7654962800916</v>
      </c>
      <c r="F37" s="44">
        <f t="shared" si="2"/>
        <v>12693.967902520344</v>
      </c>
      <c r="G37" s="43">
        <f t="shared" si="4"/>
        <v>57327.654962800909</v>
      </c>
    </row>
    <row r="38" spans="2:7" ht="20.100000000000001" customHeight="1" x14ac:dyDescent="0.25">
      <c r="B38" s="39" t="str">
        <f>IF($C$11="Daily","Day 11",IF($C$11="Weekly","Week 11",IF($C$11="Monthly","Month 11","Year 11")))</f>
        <v>Month 11</v>
      </c>
      <c r="C38" s="32">
        <f t="shared" si="3"/>
        <v>12693.967902520344</v>
      </c>
      <c r="D38" s="33">
        <f t="shared" si="0"/>
        <v>5732.7654962800916</v>
      </c>
      <c r="E38" s="40">
        <f t="shared" si="1"/>
        <v>5732.7654962800916</v>
      </c>
      <c r="F38" s="41">
        <f t="shared" si="2"/>
        <v>12693.967902520344</v>
      </c>
      <c r="G38" s="40">
        <f t="shared" si="4"/>
        <v>63060.420459080997</v>
      </c>
    </row>
    <row r="39" spans="2:7" ht="20.100000000000001" customHeight="1" x14ac:dyDescent="0.25">
      <c r="B39" s="42" t="str">
        <f>IF($C$11="Daily","Day 12",IF($C$11="Weekly","Week 12",IF($C$11="Monthly","Month 12","Year 12")))</f>
        <v>Month 12</v>
      </c>
      <c r="C39" s="27">
        <f t="shared" si="3"/>
        <v>12693.967902520344</v>
      </c>
      <c r="D39" s="28">
        <f t="shared" si="0"/>
        <v>5732.7654962800916</v>
      </c>
      <c r="E39" s="43">
        <f t="shared" si="1"/>
        <v>5732.7654962800916</v>
      </c>
      <c r="F39" s="44">
        <f t="shared" si="2"/>
        <v>12693.967902520344</v>
      </c>
      <c r="G39" s="43">
        <f t="shared" si="4"/>
        <v>68793.185955361085</v>
      </c>
    </row>
    <row r="41" spans="2:7" ht="110.1" customHeight="1" x14ac:dyDescent="0.25">
      <c r="B41" s="77" t="s">
        <v>35</v>
      </c>
      <c r="C41" s="98"/>
      <c r="D41" s="98"/>
      <c r="E41" s="98"/>
      <c r="F41" s="98"/>
      <c r="G41" s="99"/>
    </row>
  </sheetData>
  <mergeCells count="15">
    <mergeCell ref="D11:F11"/>
    <mergeCell ref="A1:G1"/>
    <mergeCell ref="B6:F6"/>
    <mergeCell ref="B24:F24"/>
    <mergeCell ref="B41:G41"/>
    <mergeCell ref="B23:C23"/>
    <mergeCell ref="B4:G4"/>
    <mergeCell ref="A2:G2"/>
    <mergeCell ref="D9:F9"/>
    <mergeCell ref="B26:G26"/>
    <mergeCell ref="B22:F22"/>
    <mergeCell ref="D7:F7"/>
    <mergeCell ref="D8:F8"/>
    <mergeCell ref="B13:F13"/>
    <mergeCell ref="D10:F10"/>
  </mergeCells>
  <dataValidations count="1">
    <dataValidation type="list" allowBlank="1" showErrorMessage="1" errorTitle="Invalid Selection" error="Please choose: Daily, Weekly, Monthly, or Annually" sqref="C11" xr:uid="{00000000-0002-0000-0300-000000000000}">
      <formula1>"Daily,Weekly,Monthly,Annually"</formula1>
    </dataValidation>
  </dataValidations>
  <hyperlinks>
    <hyperlink ref="A2" r:id="rId1" xr:uid="{00000000-0004-0000-0300-000000000000}"/>
  </hyperlinks>
  <pageMargins left="0.75" right="0.75" top="1" bottom="1" header="0.5" footer="0.5"/>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64"/>
  <sheetViews>
    <sheetView topLeftCell="A42" workbookViewId="0">
      <selection activeCell="C11" sqref="C11"/>
    </sheetView>
  </sheetViews>
  <sheetFormatPr defaultRowHeight="15" x14ac:dyDescent="0.25"/>
  <cols>
    <col min="1" max="1" width="1" customWidth="1"/>
    <col min="2" max="2" width="36.140625" customWidth="1"/>
    <col min="3" max="3" width="33.7109375" customWidth="1"/>
    <col min="4" max="5" width="20" customWidth="1"/>
    <col min="6" max="6" width="22.42578125" customWidth="1"/>
    <col min="7" max="7" width="20" customWidth="1"/>
    <col min="8" max="8" width="1" customWidth="1"/>
  </cols>
  <sheetData>
    <row r="1" spans="1:7" ht="36" customHeight="1" x14ac:dyDescent="0.25">
      <c r="A1" s="73" t="s">
        <v>0</v>
      </c>
      <c r="B1" s="72"/>
      <c r="C1" s="72"/>
      <c r="D1" s="72"/>
      <c r="E1" s="72"/>
      <c r="F1" s="72"/>
      <c r="G1" s="72"/>
    </row>
    <row r="2" spans="1:7" ht="15.95" customHeight="1" x14ac:dyDescent="0.25">
      <c r="A2" s="76" t="s">
        <v>1</v>
      </c>
      <c r="B2" s="72"/>
      <c r="C2" s="72"/>
      <c r="D2" s="72"/>
      <c r="E2" s="72"/>
      <c r="F2" s="72"/>
      <c r="G2" s="72"/>
    </row>
    <row r="4" spans="1:7" ht="27.95" customHeight="1" x14ac:dyDescent="0.25">
      <c r="B4" s="75" t="s">
        <v>2</v>
      </c>
      <c r="C4" s="72"/>
      <c r="D4" s="72"/>
      <c r="E4" s="72"/>
      <c r="F4" s="72"/>
      <c r="G4" s="72"/>
    </row>
    <row r="6" spans="1:7" ht="20.100000000000001" customHeight="1" x14ac:dyDescent="0.25">
      <c r="B6" s="74" t="s">
        <v>3</v>
      </c>
      <c r="C6" s="72"/>
      <c r="D6" s="72"/>
      <c r="E6" s="72"/>
      <c r="F6" s="72"/>
      <c r="G6" s="97"/>
    </row>
    <row r="7" spans="1:7" ht="24" customHeight="1" x14ac:dyDescent="0.25">
      <c r="B7" s="2" t="s">
        <v>4</v>
      </c>
      <c r="C7" s="3">
        <v>7500</v>
      </c>
      <c r="D7" s="71" t="s">
        <v>5</v>
      </c>
      <c r="E7" s="72"/>
      <c r="F7" s="72"/>
      <c r="G7" s="97"/>
    </row>
    <row r="8" spans="1:7" ht="24" customHeight="1" x14ac:dyDescent="0.25">
      <c r="B8" s="2" t="s">
        <v>6</v>
      </c>
      <c r="C8" s="4">
        <v>8.5000000000000006E-3</v>
      </c>
      <c r="D8" s="71" t="s">
        <v>7</v>
      </c>
      <c r="E8" s="72"/>
      <c r="F8" s="72"/>
      <c r="G8" s="97"/>
    </row>
    <row r="9" spans="1:7" ht="24" customHeight="1" x14ac:dyDescent="0.25">
      <c r="B9" s="2" t="s">
        <v>8</v>
      </c>
      <c r="C9" s="6">
        <v>46143</v>
      </c>
      <c r="D9" s="71" t="s">
        <v>9</v>
      </c>
      <c r="E9" s="72"/>
      <c r="F9" s="72"/>
      <c r="G9" s="97"/>
    </row>
    <row r="10" spans="1:7" ht="24" customHeight="1" x14ac:dyDescent="0.25">
      <c r="B10" s="2" t="s">
        <v>10</v>
      </c>
      <c r="C10" s="6">
        <v>46204</v>
      </c>
      <c r="D10" s="71" t="s">
        <v>11</v>
      </c>
      <c r="E10" s="72"/>
      <c r="F10" s="72"/>
      <c r="G10" s="97"/>
    </row>
    <row r="11" spans="1:7" ht="24" customHeight="1" x14ac:dyDescent="0.25">
      <c r="B11" s="2" t="s">
        <v>12</v>
      </c>
      <c r="C11" s="3">
        <v>3633</v>
      </c>
      <c r="D11" s="71" t="s">
        <v>13</v>
      </c>
      <c r="E11" s="72"/>
      <c r="F11" s="72"/>
      <c r="G11" s="97"/>
    </row>
    <row r="12" spans="1:7" ht="24" customHeight="1" x14ac:dyDescent="0.25">
      <c r="B12" s="2" t="s">
        <v>14</v>
      </c>
      <c r="C12" s="34" t="s">
        <v>15</v>
      </c>
      <c r="D12" s="71" t="s">
        <v>16</v>
      </c>
      <c r="E12" s="72"/>
      <c r="F12" s="72"/>
      <c r="G12" s="97"/>
    </row>
    <row r="13" spans="1:7" ht="24" customHeight="1" x14ac:dyDescent="0.25">
      <c r="B13" s="2" t="s">
        <v>17</v>
      </c>
      <c r="C13" s="5">
        <v>36</v>
      </c>
      <c r="D13" s="71" t="s">
        <v>18</v>
      </c>
      <c r="E13" s="72"/>
      <c r="F13" s="72"/>
      <c r="G13" s="97"/>
    </row>
    <row r="15" spans="1:7" ht="20.100000000000001" customHeight="1" x14ac:dyDescent="0.25">
      <c r="B15" s="74" t="s">
        <v>19</v>
      </c>
      <c r="C15" s="72"/>
      <c r="D15" s="72"/>
      <c r="E15" s="72"/>
      <c r="F15" s="72"/>
      <c r="G15" s="97"/>
    </row>
    <row r="16" spans="1:7" ht="21.95" customHeight="1" x14ac:dyDescent="0.25">
      <c r="B16" s="2" t="s">
        <v>20</v>
      </c>
      <c r="C16" s="35">
        <f>IF(AND(ISNUMBER(C9),ISNUMBER(C10)),MAX(0,C10-C9),"")</f>
        <v>61</v>
      </c>
    </row>
    <row r="17" spans="2:7" ht="21.95" customHeight="1" x14ac:dyDescent="0.25">
      <c r="B17" s="9" t="s">
        <v>21</v>
      </c>
      <c r="C17" s="12">
        <f>IF(ISNUMBER(C16),C7*(1+C8)^C16,"")</f>
        <v>12568.727742564965</v>
      </c>
    </row>
    <row r="18" spans="2:7" ht="21.95" customHeight="1" x14ac:dyDescent="0.25">
      <c r="B18" s="2" t="s">
        <v>22</v>
      </c>
      <c r="C18" s="36">
        <f>IF(C8&gt;0,(1+C8)^365-1,0)</f>
        <v>20.963645745733714</v>
      </c>
    </row>
    <row r="19" spans="2:7" ht="21.95" customHeight="1" x14ac:dyDescent="0.25">
      <c r="B19" s="2" t="s">
        <v>23</v>
      </c>
      <c r="C19" s="7">
        <f>IF(C12="Daily",1,IF(C12="Weekly",7,IF(C12="Monthly",30,IF(C12="Annually",365,30))))</f>
        <v>30</v>
      </c>
    </row>
    <row r="20" spans="2:7" ht="21.95" customHeight="1" x14ac:dyDescent="0.25">
      <c r="B20" s="2" t="s">
        <v>24</v>
      </c>
      <c r="C20" s="45">
        <f>IF(C8&gt;0,(1+C8)^C19-1,"")</f>
        <v>0.28907170701086038</v>
      </c>
    </row>
    <row r="21" spans="2:7" ht="21.95" customHeight="1" x14ac:dyDescent="0.25">
      <c r="B21" s="9" t="s">
        <v>25</v>
      </c>
      <c r="C21" s="46">
        <f>C11*C13</f>
        <v>130788</v>
      </c>
    </row>
    <row r="22" spans="2:7" ht="21.95" customHeight="1" x14ac:dyDescent="0.25">
      <c r="B22" s="9" t="s">
        <v>26</v>
      </c>
      <c r="C22" s="12">
        <f>IF(AND(ISNUMBER(C17),ISNUMBER(C20)),IF(C20&gt;0,C17*(1+C20)^C13-C11*((1+C20)^C13-1)/C20,C17-C11*C13),"")</f>
        <v>21076.989492505789</v>
      </c>
    </row>
    <row r="23" spans="2:7" ht="21.95" customHeight="1" x14ac:dyDescent="0.25">
      <c r="B23" s="9" t="s">
        <v>27</v>
      </c>
      <c r="C23" s="47" t="str">
        <f>IF(ISNUMBER(C22),IF(C22&lt;=0,"⚠ YES — balance runs out","✓ No — balance remains positive"),"")</f>
        <v>✓ No — balance remains positive</v>
      </c>
    </row>
    <row r="25" spans="2:7" ht="20.100000000000001" customHeight="1" x14ac:dyDescent="0.25">
      <c r="B25" s="74" t="s">
        <v>28</v>
      </c>
      <c r="C25" s="72"/>
      <c r="D25" s="72"/>
      <c r="E25" s="72"/>
      <c r="F25" s="72"/>
      <c r="G25" s="72"/>
    </row>
    <row r="26" spans="2:7" ht="21.95" customHeight="1" x14ac:dyDescent="0.25">
      <c r="B26" s="23" t="s">
        <v>29</v>
      </c>
      <c r="C26" s="23" t="s">
        <v>30</v>
      </c>
      <c r="D26" s="23" t="s">
        <v>31</v>
      </c>
      <c r="E26" s="23" t="s">
        <v>32</v>
      </c>
      <c r="F26" s="23" t="s">
        <v>33</v>
      </c>
      <c r="G26" s="23" t="s">
        <v>34</v>
      </c>
    </row>
    <row r="27" spans="2:7" ht="20.100000000000001" customHeight="1" x14ac:dyDescent="0.25">
      <c r="B27" s="39" t="str">
        <f>IF($C$12="Daily","Day 1",IF($C$12="Weekly","Week 1",IF($C$12="Monthly","Month 1","Year 1")))</f>
        <v>Month 1</v>
      </c>
      <c r="C27" s="32">
        <f>IF(ISNUMBER(C17),C17,"")</f>
        <v>12568.727742564965</v>
      </c>
      <c r="D27" s="33">
        <f>IF(AND(1&lt;=$C$13,ISNUMBER(C27)),C27*((1+$C$8)^$C$19-1),"")</f>
        <v>3633.2635834980119</v>
      </c>
      <c r="E27" s="40">
        <f>IF(AND(1&lt;=$C$13,ISNUMBER(C27)),IF(C27+D27&gt;=$C$11,$C$11,MAX(0,C27+D27)),"")</f>
        <v>3633</v>
      </c>
      <c r="F27" s="41">
        <f>IF(AND(1&lt;=$C$13,ISNUMBER(C27)),MAX(0,C27+D27-E27),"")</f>
        <v>12568.991326062976</v>
      </c>
      <c r="G27" s="40">
        <f>IF(ISNUMBER(E27),E27,"")</f>
        <v>3633</v>
      </c>
    </row>
    <row r="28" spans="2:7" ht="20.100000000000001" customHeight="1" x14ac:dyDescent="0.25">
      <c r="B28" s="42" t="str">
        <f>IF($C$12="Daily","Day 2",IF($C$12="Weekly","Week 2",IF($C$12="Monthly","Month 2","Year 2")))</f>
        <v>Month 2</v>
      </c>
      <c r="C28" s="27">
        <f>IF(AND(2&lt;=$C$13+1,ISNUMBER(F27)),F27,"")</f>
        <v>12568.991326062976</v>
      </c>
      <c r="D28" s="28">
        <f>IF(AND(2&lt;=$C$13,ISNUMBER(C28)),C28*((1+$C$8)^$C$19-1),"")</f>
        <v>3633.3397780297223</v>
      </c>
      <c r="E28" s="43">
        <f>IF(AND(2&lt;=$C$13,ISNUMBER(C28)),IF(C28+D28&gt;=$C$11,$C$11,MAX(0,C28+D28)),"")</f>
        <v>3633</v>
      </c>
      <c r="F28" s="44">
        <f>IF(AND(2&lt;=$C$13,ISNUMBER(C28)),MAX(0,C28+D28-E28),"")</f>
        <v>12569.331104092698</v>
      </c>
      <c r="G28" s="43">
        <f>IF(AND(2&lt;=$C$13,ISNUMBER(E28)),G27+E28,"")</f>
        <v>7266</v>
      </c>
    </row>
    <row r="29" spans="2:7" ht="20.100000000000001" customHeight="1" x14ac:dyDescent="0.25">
      <c r="B29" s="39" t="str">
        <f>IF($C$12="Daily","Day 3",IF($C$12="Weekly","Week 3",IF($C$12="Monthly","Month 3","Year 3")))</f>
        <v>Month 3</v>
      </c>
      <c r="C29" s="32">
        <f>IF(AND(3&lt;=$C$13+1,ISNUMBER(F28)),F28,"")</f>
        <v>12569.331104092698</v>
      </c>
      <c r="D29" s="33">
        <f>IF(AND(3&lt;=$C$13,ISNUMBER(C29)),C29*((1+$C$8)^$C$19-1),"")</f>
        <v>3633.4379982447786</v>
      </c>
      <c r="E29" s="40">
        <f>IF(AND(3&lt;=$C$13,ISNUMBER(C29)),IF(C29+D29&gt;=$C$11,$C$11,MAX(0,C29+D29)),"")</f>
        <v>3633</v>
      </c>
      <c r="F29" s="41">
        <f>IF(AND(3&lt;=$C$13,ISNUMBER(C29)),MAX(0,C29+D29-E29),"")</f>
        <v>12569.769102337477</v>
      </c>
      <c r="G29" s="40">
        <f>IF(AND(3&lt;=$C$13,ISNUMBER(E29)),G28+E29,"")</f>
        <v>10899</v>
      </c>
    </row>
    <row r="30" spans="2:7" ht="20.100000000000001" customHeight="1" x14ac:dyDescent="0.25">
      <c r="B30" s="42" t="str">
        <f>IF($C$12="Daily","Day 4",IF($C$12="Weekly","Week 4",IF($C$12="Monthly","Month 4","Year 4")))</f>
        <v>Month 4</v>
      </c>
      <c r="C30" s="27">
        <f>IF(AND(4&lt;=$C$13+1,ISNUMBER(F29)),F29,"")</f>
        <v>12569.769102337477</v>
      </c>
      <c r="D30" s="28">
        <f>IF(AND(4&lt;=$C$13,ISNUMBER(C30)),C30*((1+$C$8)^$C$19-1),"")</f>
        <v>3633.5646111450646</v>
      </c>
      <c r="E30" s="43">
        <f>IF(AND(4&lt;=$C$13,ISNUMBER(C30)),IF(C30+D30&gt;=$C$11,$C$11,MAX(0,C30+D30)),"")</f>
        <v>3633</v>
      </c>
      <c r="F30" s="44">
        <f>IF(AND(4&lt;=$C$13,ISNUMBER(C30)),MAX(0,C30+D30-E30),"")</f>
        <v>12570.333713482541</v>
      </c>
      <c r="G30" s="43">
        <f>IF(AND(4&lt;=$C$13,ISNUMBER(E30)),G29+E30,"")</f>
        <v>14532</v>
      </c>
    </row>
    <row r="31" spans="2:7" ht="20.100000000000001" customHeight="1" x14ac:dyDescent="0.25">
      <c r="B31" s="39" t="str">
        <f>IF($C$12="Daily","Day 5",IF($C$12="Weekly","Week 5",IF($C$12="Monthly","Month 5","Year 5")))</f>
        <v>Month 5</v>
      </c>
      <c r="C31" s="32">
        <f>IF(AND(5&lt;=$C$13+1,ISNUMBER(F30)),F30,"")</f>
        <v>12570.333713482541</v>
      </c>
      <c r="D31" s="33">
        <f>IF(AND(5&lt;=$C$13,ISNUMBER(C31)),C31*((1+$C$8)^$C$19-1),"")</f>
        <v>3633.7278242525658</v>
      </c>
      <c r="E31" s="40">
        <f>IF(AND(5&lt;=$C$13,ISNUMBER(C31)),IF(C31+D31&gt;=$C$11,$C$11,MAX(0,C31+D31)),"")</f>
        <v>3633</v>
      </c>
      <c r="F31" s="41">
        <f>IF(AND(5&lt;=$C$13,ISNUMBER(C31)),MAX(0,C31+D31-E31),"")</f>
        <v>12571.061537735108</v>
      </c>
      <c r="G31" s="40">
        <f>IF(AND(5&lt;=$C$13,ISNUMBER(E31)),G30+E31,"")</f>
        <v>18165</v>
      </c>
    </row>
    <row r="32" spans="2:7" ht="20.100000000000001" customHeight="1" x14ac:dyDescent="0.25">
      <c r="B32" s="42" t="str">
        <f>IF($C$12="Daily","Day 6",IF($C$12="Weekly","Week 6",IF($C$12="Monthly","Month 6","Year 6")))</f>
        <v>Month 6</v>
      </c>
      <c r="C32" s="27">
        <f>IF(AND(6&lt;=$C$13+1,ISNUMBER(F31)),F31,"")</f>
        <v>12571.061537735108</v>
      </c>
      <c r="D32" s="28">
        <f>IF(AND(6&lt;=$C$13,ISNUMBER(C32)),C32*((1+$C$8)^$C$19-1),"")</f>
        <v>3633.9382176516592</v>
      </c>
      <c r="E32" s="43">
        <f>IF(AND(6&lt;=$C$13,ISNUMBER(C32)),IF(C32+D32&gt;=$C$11,$C$11,MAX(0,C32+D32)),"")</f>
        <v>3633</v>
      </c>
      <c r="F32" s="44">
        <f>IF(AND(6&lt;=$C$13,ISNUMBER(C32)),MAX(0,C32+D32-E32),"")</f>
        <v>12571.999755386767</v>
      </c>
      <c r="G32" s="43">
        <f>IF(AND(6&lt;=$C$13,ISNUMBER(E32)),G31+E32,"")</f>
        <v>21798</v>
      </c>
    </row>
    <row r="33" spans="2:7" ht="20.100000000000001" customHeight="1" x14ac:dyDescent="0.25">
      <c r="B33" s="39" t="str">
        <f>IF($C$12="Daily","Day 7",IF($C$12="Weekly","Week 7",IF($C$12="Monthly","Month 7","Year 7")))</f>
        <v>Month 7</v>
      </c>
      <c r="C33" s="32">
        <f>IF(AND(7&lt;=$C$13+1,ISNUMBER(F32)),F32,"")</f>
        <v>12571.999755386767</v>
      </c>
      <c r="D33" s="33">
        <f>IF(AND(7&lt;=$C$13,ISNUMBER(C33)),C33*((1+$C$8)^$C$19-1),"")</f>
        <v>3634.209429829772</v>
      </c>
      <c r="E33" s="40">
        <f>IF(AND(7&lt;=$C$13,ISNUMBER(C33)),IF(C33+D33&gt;=$C$11,$C$11,MAX(0,C33+D33)),"")</f>
        <v>3633</v>
      </c>
      <c r="F33" s="41">
        <f>IF(AND(7&lt;=$C$13,ISNUMBER(C33)),MAX(0,C33+D33-E33),"")</f>
        <v>12573.209185216539</v>
      </c>
      <c r="G33" s="40">
        <f>IF(AND(7&lt;=$C$13,ISNUMBER(E33)),G32+E33,"")</f>
        <v>25431</v>
      </c>
    </row>
    <row r="34" spans="2:7" ht="20.100000000000001" customHeight="1" x14ac:dyDescent="0.25">
      <c r="B34" s="42" t="str">
        <f>IF($C$12="Daily","Day 8",IF($C$12="Weekly","Week 8",IF($C$12="Monthly","Month 8","Year 8")))</f>
        <v>Month 8</v>
      </c>
      <c r="C34" s="27">
        <f>IF(AND(8&lt;=$C$13+1,ISNUMBER(F33)),F33,"")</f>
        <v>12573.209185216539</v>
      </c>
      <c r="D34" s="28">
        <f>IF(AND(8&lt;=$C$13,ISNUMBER(C34)),C34*((1+$C$8)^$C$19-1),"")</f>
        <v>3634.5590417751741</v>
      </c>
      <c r="E34" s="43">
        <f>IF(AND(8&lt;=$C$13,ISNUMBER(C34)),IF(C34+D34&gt;=$C$11,$C$11,MAX(0,C34+D34)),"")</f>
        <v>3633</v>
      </c>
      <c r="F34" s="44">
        <f>IF(AND(8&lt;=$C$13,ISNUMBER(C34)),MAX(0,C34+D34-E34),"")</f>
        <v>12574.768226991713</v>
      </c>
      <c r="G34" s="43">
        <f>IF(AND(8&lt;=$C$13,ISNUMBER(E34)),G33+E34,"")</f>
        <v>29064</v>
      </c>
    </row>
    <row r="35" spans="2:7" ht="20.100000000000001" customHeight="1" x14ac:dyDescent="0.25">
      <c r="B35" s="39" t="str">
        <f>IF($C$12="Daily","Day 9",IF($C$12="Weekly","Week 9",IF($C$12="Monthly","Month 9","Year 9")))</f>
        <v>Month 9</v>
      </c>
      <c r="C35" s="32">
        <f>IF(AND(9&lt;=$C$13+1,ISNUMBER(F34)),F34,"")</f>
        <v>12574.768226991713</v>
      </c>
      <c r="D35" s="33">
        <f>IF(AND(9&lt;=$C$13,ISNUMBER(C35)),C35*((1+$C$8)^$C$19-1),"")</f>
        <v>3635.0097166424248</v>
      </c>
      <c r="E35" s="40">
        <f>IF(AND(9&lt;=$C$13,ISNUMBER(C35)),IF(C35+D35&gt;=$C$11,$C$11,MAX(0,C35+D35)),"")</f>
        <v>3633</v>
      </c>
      <c r="F35" s="41">
        <f>IF(AND(9&lt;=$C$13,ISNUMBER(C35)),MAX(0,C35+D35-E35),"")</f>
        <v>12576.777943634137</v>
      </c>
      <c r="G35" s="40">
        <f>IF(AND(9&lt;=$C$13,ISNUMBER(E35)),G34+E35,"")</f>
        <v>32697</v>
      </c>
    </row>
    <row r="36" spans="2:7" ht="20.100000000000001" customHeight="1" x14ac:dyDescent="0.25">
      <c r="B36" s="42" t="str">
        <f>IF($C$12="Daily","Day 10",IF($C$12="Weekly","Week 10",IF($C$12="Monthly","Month 10","Year 10")))</f>
        <v>Month 10</v>
      </c>
      <c r="C36" s="27">
        <f>IF(AND(10&lt;=$C$13+1,ISNUMBER(F35)),F35,"")</f>
        <v>12576.777943634137</v>
      </c>
      <c r="D36" s="28">
        <f>IF(AND(10&lt;=$C$13,ISNUMBER(C36)),C36*((1+$C$8)^$C$19-1),"")</f>
        <v>3635.5906688628584</v>
      </c>
      <c r="E36" s="43">
        <f>IF(AND(10&lt;=$C$13,ISNUMBER(C36)),IF(C36+D36&gt;=$C$11,$C$11,MAX(0,C36+D36)),"")</f>
        <v>3633</v>
      </c>
      <c r="F36" s="44">
        <f>IF(AND(10&lt;=$C$13,ISNUMBER(C36)),MAX(0,C36+D36-E36),"")</f>
        <v>12579.368612496995</v>
      </c>
      <c r="G36" s="43">
        <f>IF(AND(10&lt;=$C$13,ISNUMBER(E36)),G35+E36,"")</f>
        <v>36330</v>
      </c>
    </row>
    <row r="37" spans="2:7" ht="20.100000000000001" customHeight="1" x14ac:dyDescent="0.25">
      <c r="B37" s="39" t="str">
        <f>IF($C$12="Daily","Day 11",IF($C$12="Weekly","Week 11",IF($C$12="Monthly","Month 11","Year 11")))</f>
        <v>Month 11</v>
      </c>
      <c r="C37" s="32">
        <f>IF(AND(11&lt;=$C$13+1,ISNUMBER(F36)),F36,"")</f>
        <v>12579.368612496995</v>
      </c>
      <c r="D37" s="33">
        <f>IF(AND(11&lt;=$C$13,ISNUMBER(C37)),C37*((1+$C$8)^$C$19-1),"")</f>
        <v>3636.3395579333446</v>
      </c>
      <c r="E37" s="40">
        <f>IF(AND(11&lt;=$C$13,ISNUMBER(C37)),IF(C37+D37&gt;=$C$11,$C$11,MAX(0,C37+D37)),"")</f>
        <v>3633</v>
      </c>
      <c r="F37" s="41">
        <f>IF(AND(11&lt;=$C$13,ISNUMBER(C37)),MAX(0,C37+D37-E37),"")</f>
        <v>12582.70817043034</v>
      </c>
      <c r="G37" s="40">
        <f>IF(AND(11&lt;=$C$13,ISNUMBER(E37)),G36+E37,"")</f>
        <v>39963</v>
      </c>
    </row>
    <row r="38" spans="2:7" ht="20.100000000000001" customHeight="1" x14ac:dyDescent="0.25">
      <c r="B38" s="42" t="str">
        <f>IF($C$12="Daily","Day 12",IF($C$12="Weekly","Week 12",IF($C$12="Monthly","Month 12","Year 12")))</f>
        <v>Month 12</v>
      </c>
      <c r="C38" s="27">
        <f>IF(AND(12&lt;=$C$13+1,ISNUMBER(F37)),F37,"")</f>
        <v>12582.70817043034</v>
      </c>
      <c r="D38" s="28">
        <f>IF(AND(12&lt;=$C$13,ISNUMBER(C38)),C38*((1+$C$8)^$C$19-1),"")</f>
        <v>3637.3049296457984</v>
      </c>
      <c r="E38" s="43">
        <f>IF(AND(12&lt;=$C$13,ISNUMBER(C38)),IF(C38+D38&gt;=$C$11,$C$11,MAX(0,C38+D38)),"")</f>
        <v>3633</v>
      </c>
      <c r="F38" s="44">
        <f>IF(AND(12&lt;=$C$13,ISNUMBER(C38)),MAX(0,C38+D38-E38),"")</f>
        <v>12587.013100076139</v>
      </c>
      <c r="G38" s="43">
        <f>IF(AND(12&lt;=$C$13,ISNUMBER(E38)),G37+E38,"")</f>
        <v>43596</v>
      </c>
    </row>
    <row r="39" spans="2:7" ht="20.100000000000001" customHeight="1" x14ac:dyDescent="0.25">
      <c r="B39" s="39" t="str">
        <f>IF($C$12="Daily","Day 13",IF($C$12="Weekly","Week 13",IF($C$12="Monthly","Month 13","Year 13")))</f>
        <v>Month 13</v>
      </c>
      <c r="C39" s="32">
        <f>IF(AND(13&lt;=$C$13+1,ISNUMBER(F38)),F38,"")</f>
        <v>12587.013100076139</v>
      </c>
      <c r="D39" s="33">
        <f>IF(AND(13&lt;=$C$13,ISNUMBER(C39)),C39*((1+$C$8)^$C$19-1),"")</f>
        <v>3638.549363007071</v>
      </c>
      <c r="E39" s="40">
        <f>IF(AND(13&lt;=$C$13,ISNUMBER(C39)),IF(C39+D39&gt;=$C$11,$C$11,MAX(0,C39+D39)),"")</f>
        <v>3633</v>
      </c>
      <c r="F39" s="41">
        <f>IF(AND(13&lt;=$C$13,ISNUMBER(C39)),MAX(0,C39+D39-E39),"")</f>
        <v>12592.56246308321</v>
      </c>
      <c r="G39" s="40">
        <f>IF(AND(13&lt;=$C$13,ISNUMBER(E39)),G38+E39,"")</f>
        <v>47229</v>
      </c>
    </row>
    <row r="40" spans="2:7" ht="20.100000000000001" customHeight="1" x14ac:dyDescent="0.25">
      <c r="B40" s="42" t="str">
        <f>IF($C$12="Daily","Day 14",IF($C$12="Weekly","Week 14",IF($C$12="Monthly","Month 14","Year 14")))</f>
        <v>Month 14</v>
      </c>
      <c r="C40" s="27">
        <f>IF(AND(14&lt;=$C$13+1,ISNUMBER(F39)),F39,"")</f>
        <v>12592.56246308321</v>
      </c>
      <c r="D40" s="28">
        <f>IF(AND(14&lt;=$C$13,ISNUMBER(C40)),C40*((1+$C$8)^$C$19-1),"")</f>
        <v>3640.1535268443481</v>
      </c>
      <c r="E40" s="43">
        <f>IF(AND(14&lt;=$C$13,ISNUMBER(C40)),IF(C40+D40&gt;=$C$11,$C$11,MAX(0,C40+D40)),"")</f>
        <v>3633</v>
      </c>
      <c r="F40" s="44">
        <f>IF(AND(14&lt;=$C$13,ISNUMBER(C40)),MAX(0,C40+D40-E40),"")</f>
        <v>12599.715989927558</v>
      </c>
      <c r="G40" s="43">
        <f>IF(AND(14&lt;=$C$13,ISNUMBER(E40)),G39+E40,"")</f>
        <v>50862</v>
      </c>
    </row>
    <row r="41" spans="2:7" ht="20.100000000000001" customHeight="1" x14ac:dyDescent="0.25">
      <c r="B41" s="39" t="str">
        <f>IF($C$12="Daily","Day 15",IF($C$12="Weekly","Week 15",IF($C$12="Monthly","Month 15","Year 15")))</f>
        <v>Month 15</v>
      </c>
      <c r="C41" s="32">
        <f>IF(AND(15&lt;=$C$13+1,ISNUMBER(F40)),F40,"")</f>
        <v>12599.715989927558</v>
      </c>
      <c r="D41" s="33">
        <f>IF(AND(15&lt;=$C$13,ISNUMBER(C41)),C41*((1+$C$8)^$C$19-1),"")</f>
        <v>3642.2214090603916</v>
      </c>
      <c r="E41" s="40">
        <f>IF(AND(15&lt;=$C$13,ISNUMBER(C41)),IF(C41+D41&gt;=$C$11,$C$11,MAX(0,C41+D41)),"")</f>
        <v>3633</v>
      </c>
      <c r="F41" s="41">
        <f>IF(AND(15&lt;=$C$13,ISNUMBER(C41)),MAX(0,C41+D41-E41),"")</f>
        <v>12608.93739898795</v>
      </c>
      <c r="G41" s="40">
        <f>IF(AND(15&lt;=$C$13,ISNUMBER(E41)),G40+E41,"")</f>
        <v>54495</v>
      </c>
    </row>
    <row r="42" spans="2:7" ht="20.100000000000001" customHeight="1" x14ac:dyDescent="0.25">
      <c r="B42" s="42" t="str">
        <f>IF($C$12="Daily","Day 16",IF($C$12="Weekly","Week 16",IF($C$12="Monthly","Month 16","Year 16")))</f>
        <v>Month 16</v>
      </c>
      <c r="C42" s="27">
        <f>IF(AND(16&lt;=$C$13+1,ISNUMBER(F41)),F41,"")</f>
        <v>12608.93739898795</v>
      </c>
      <c r="D42" s="28">
        <f>IF(AND(16&lt;=$C$13,ISNUMBER(C42)),C42*((1+$C$8)^$C$19-1),"")</f>
        <v>3644.8870575185247</v>
      </c>
      <c r="E42" s="43">
        <f>IF(AND(16&lt;=$C$13,ISNUMBER(C42)),IF(C42+D42&gt;=$C$11,$C$11,MAX(0,C42+D42)),"")</f>
        <v>3633</v>
      </c>
      <c r="F42" s="44">
        <f>IF(AND(16&lt;=$C$13,ISNUMBER(C42)),MAX(0,C42+D42-E42),"")</f>
        <v>12620.824456506474</v>
      </c>
      <c r="G42" s="43">
        <f>IF(AND(16&lt;=$C$13,ISNUMBER(E42)),G41+E42,"")</f>
        <v>58128</v>
      </c>
    </row>
    <row r="43" spans="2:7" ht="20.100000000000001" customHeight="1" x14ac:dyDescent="0.25">
      <c r="B43" s="39" t="str">
        <f>IF($C$12="Daily","Day 17",IF($C$12="Weekly","Week 17",IF($C$12="Monthly","Month 17","Year 17")))</f>
        <v>Month 17</v>
      </c>
      <c r="C43" s="32">
        <f>IF(AND(17&lt;=$C$13+1,ISNUMBER(F42)),F42,"")</f>
        <v>12620.824456506474</v>
      </c>
      <c r="D43" s="33">
        <f>IF(AND(17&lt;=$C$13,ISNUMBER(C43)),C43*((1+$C$8)^$C$19-1),"")</f>
        <v>3648.3232695267407</v>
      </c>
      <c r="E43" s="40">
        <f>IF(AND(17&lt;=$C$13,ISNUMBER(C43)),IF(C43+D43&gt;=$C$11,$C$11,MAX(0,C43+D43)),"")</f>
        <v>3633</v>
      </c>
      <c r="F43" s="41">
        <f>IF(AND(17&lt;=$C$13,ISNUMBER(C43)),MAX(0,C43+D43-E43),"")</f>
        <v>12636.147726033214</v>
      </c>
      <c r="G43" s="40">
        <f>IF(AND(17&lt;=$C$13,ISNUMBER(E43)),G42+E43,"")</f>
        <v>61761</v>
      </c>
    </row>
    <row r="44" spans="2:7" ht="20.100000000000001" customHeight="1" x14ac:dyDescent="0.25">
      <c r="B44" s="42" t="str">
        <f>IF($C$12="Daily","Day 18",IF($C$12="Weekly","Week 18",IF($C$12="Monthly","Month 18","Year 18")))</f>
        <v>Month 18</v>
      </c>
      <c r="C44" s="27">
        <f>IF(AND(18&lt;=$C$13+1,ISNUMBER(F43)),F43,"")</f>
        <v>12636.147726033214</v>
      </c>
      <c r="D44" s="28">
        <f>IF(AND(18&lt;=$C$13,ISNUMBER(C44)),C44*((1+$C$8)^$C$19-1),"")</f>
        <v>3652.7527932058229</v>
      </c>
      <c r="E44" s="43">
        <f>IF(AND(18&lt;=$C$13,ISNUMBER(C44)),IF(C44+D44&gt;=$C$11,$C$11,MAX(0,C44+D44)),"")</f>
        <v>3633</v>
      </c>
      <c r="F44" s="44">
        <f>IF(AND(18&lt;=$C$13,ISNUMBER(C44)),MAX(0,C44+D44-E44),"")</f>
        <v>12655.900519239036</v>
      </c>
      <c r="G44" s="43">
        <f>IF(AND(18&lt;=$C$13,ISNUMBER(E44)),G43+E44,"")</f>
        <v>65394</v>
      </c>
    </row>
    <row r="45" spans="2:7" ht="20.100000000000001" customHeight="1" x14ac:dyDescent="0.25">
      <c r="B45" s="39" t="str">
        <f>IF($C$12="Daily","Day 19",IF($C$12="Weekly","Week 19",IF($C$12="Monthly","Month 19","Year 19")))</f>
        <v>Month 19</v>
      </c>
      <c r="C45" s="32">
        <f>IF(AND(19&lt;=$C$13+1,ISNUMBER(F44)),F44,"")</f>
        <v>12655.900519239036</v>
      </c>
      <c r="D45" s="33">
        <f>IF(AND(19&lt;=$C$13,ISNUMBER(C45)),C45*((1+$C$8)^$C$19-1),"")</f>
        <v>3658.4627668560624</v>
      </c>
      <c r="E45" s="40">
        <f>IF(AND(19&lt;=$C$13,ISNUMBER(C45)),IF(C45+D45&gt;=$C$11,$C$11,MAX(0,C45+D45)),"")</f>
        <v>3633</v>
      </c>
      <c r="F45" s="41">
        <f>IF(AND(19&lt;=$C$13,ISNUMBER(C45)),MAX(0,C45+D45-E45),"")</f>
        <v>12681.363286095098</v>
      </c>
      <c r="G45" s="40">
        <f>IF(AND(19&lt;=$C$13,ISNUMBER(E45)),G44+E45,"")</f>
        <v>69027</v>
      </c>
    </row>
    <row r="46" spans="2:7" ht="20.100000000000001" customHeight="1" x14ac:dyDescent="0.25">
      <c r="B46" s="42" t="str">
        <f>IF($C$12="Daily","Day 20",IF($C$12="Weekly","Week 20",IF($C$12="Monthly","Month 20","Year 20")))</f>
        <v>Month 20</v>
      </c>
      <c r="C46" s="27">
        <f>IF(AND(20&lt;=$C$13+1,ISNUMBER(F45)),F45,"")</f>
        <v>12681.363286095098</v>
      </c>
      <c r="D46" s="28">
        <f>IF(AND(20&lt;=$C$13,ISNUMBER(C46)),C46*((1+$C$8)^$C$19-1),"")</f>
        <v>3665.8233323363638</v>
      </c>
      <c r="E46" s="43">
        <f>IF(AND(20&lt;=$C$13,ISNUMBER(C46)),IF(C46+D46&gt;=$C$11,$C$11,MAX(0,C46+D46)),"")</f>
        <v>3633</v>
      </c>
      <c r="F46" s="44">
        <f>IF(AND(20&lt;=$C$13,ISNUMBER(C46)),MAX(0,C46+D46-E46),"")</f>
        <v>12714.186618431462</v>
      </c>
      <c r="G46" s="43">
        <f>IF(AND(20&lt;=$C$13,ISNUMBER(E46)),G45+E46,"")</f>
        <v>72660</v>
      </c>
    </row>
    <row r="47" spans="2:7" ht="20.100000000000001" customHeight="1" x14ac:dyDescent="0.25">
      <c r="B47" s="39" t="str">
        <f>IF($C$12="Daily","Day 21",IF($C$12="Weekly","Week 21",IF($C$12="Monthly","Month 21","Year 21")))</f>
        <v>Month 21</v>
      </c>
      <c r="C47" s="32">
        <f>IF(AND(21&lt;=$C$13+1,ISNUMBER(F46)),F46,"")</f>
        <v>12714.186618431462</v>
      </c>
      <c r="D47" s="33">
        <f>IF(AND(21&lt;=$C$13,ISNUMBER(C47)),C47*((1+$C$8)^$C$19-1),"")</f>
        <v>3675.3116290446214</v>
      </c>
      <c r="E47" s="40">
        <f>IF(AND(21&lt;=$C$13,ISNUMBER(C47)),IF(C47+D47&gt;=$C$11,$C$11,MAX(0,C47+D47)),"")</f>
        <v>3633</v>
      </c>
      <c r="F47" s="41">
        <f>IF(AND(21&lt;=$C$13,ISNUMBER(C47)),MAX(0,C47+D47-E47),"")</f>
        <v>12756.498247476084</v>
      </c>
      <c r="G47" s="40">
        <f>IF(AND(21&lt;=$C$13,ISNUMBER(E47)),G46+E47,"")</f>
        <v>76293</v>
      </c>
    </row>
    <row r="48" spans="2:7" ht="20.100000000000001" customHeight="1" x14ac:dyDescent="0.25">
      <c r="B48" s="42" t="str">
        <f>IF($C$12="Daily","Day 22",IF($C$12="Weekly","Week 22",IF($C$12="Monthly","Month 22","Year 22")))</f>
        <v>Month 22</v>
      </c>
      <c r="C48" s="27">
        <f>IF(AND(22&lt;=$C$13+1,ISNUMBER(F47)),F47,"")</f>
        <v>12756.498247476084</v>
      </c>
      <c r="D48" s="28">
        <f>IF(AND(22&lt;=$C$13,ISNUMBER(C48)),C48*((1+$C$8)^$C$19-1),"")</f>
        <v>3687.5427238789603</v>
      </c>
      <c r="E48" s="43">
        <f>IF(AND(22&lt;=$C$13,ISNUMBER(C48)),IF(C48+D48&gt;=$C$11,$C$11,MAX(0,C48+D48)),"")</f>
        <v>3633</v>
      </c>
      <c r="F48" s="44">
        <f>IF(AND(22&lt;=$C$13,ISNUMBER(C48)),MAX(0,C48+D48-E48),"")</f>
        <v>12811.040971355043</v>
      </c>
      <c r="G48" s="43">
        <f>IF(AND(22&lt;=$C$13,ISNUMBER(E48)),G47+E48,"")</f>
        <v>79926</v>
      </c>
    </row>
    <row r="49" spans="2:7" ht="20.100000000000001" customHeight="1" x14ac:dyDescent="0.25">
      <c r="B49" s="39" t="str">
        <f>IF($C$12="Daily","Day 23",IF($C$12="Weekly","Week 23",IF($C$12="Monthly","Month 23","Year 23")))</f>
        <v>Month 23</v>
      </c>
      <c r="C49" s="32">
        <f>IF(AND(23&lt;=$C$13+1,ISNUMBER(F48)),F48,"")</f>
        <v>12811.040971355043</v>
      </c>
      <c r="D49" s="33">
        <f>IF(AND(23&lt;=$C$13,ISNUMBER(C49)),C49*((1+$C$8)^$C$19-1),"")</f>
        <v>3703.3094821756731</v>
      </c>
      <c r="E49" s="40">
        <f>IF(AND(23&lt;=$C$13,ISNUMBER(C49)),IF(C49+D49&gt;=$C$11,$C$11,MAX(0,C49+D49)),"")</f>
        <v>3633</v>
      </c>
      <c r="F49" s="41">
        <f>IF(AND(23&lt;=$C$13,ISNUMBER(C49)),MAX(0,C49+D49-E49),"")</f>
        <v>12881.350453530715</v>
      </c>
      <c r="G49" s="40">
        <f>IF(AND(23&lt;=$C$13,ISNUMBER(E49)),G48+E49,"")</f>
        <v>83559</v>
      </c>
    </row>
    <row r="50" spans="2:7" ht="20.100000000000001" customHeight="1" x14ac:dyDescent="0.25">
      <c r="B50" s="42" t="str">
        <f>IF($C$12="Daily","Day 24",IF($C$12="Weekly","Week 24",IF($C$12="Monthly","Month 24","Year 24")))</f>
        <v>Month 24</v>
      </c>
      <c r="C50" s="27">
        <f>IF(AND(24&lt;=$C$13+1,ISNUMBER(F49)),F49,"")</f>
        <v>12881.350453530715</v>
      </c>
      <c r="D50" s="28">
        <f>IF(AND(24&lt;=$C$13,ISNUMBER(C50)),C50*((1+$C$8)^$C$19-1),"")</f>
        <v>3723.6339642072444</v>
      </c>
      <c r="E50" s="43">
        <f>IF(AND(24&lt;=$C$13,ISNUMBER(C50)),IF(C50+D50&gt;=$C$11,$C$11,MAX(0,C50+D50)),"")</f>
        <v>3633</v>
      </c>
      <c r="F50" s="44">
        <f>IF(AND(24&lt;=$C$13,ISNUMBER(C50)),MAX(0,C50+D50-E50),"")</f>
        <v>12971.98441773796</v>
      </c>
      <c r="G50" s="43">
        <f>IF(AND(24&lt;=$C$13,ISNUMBER(E50)),G49+E50,"")</f>
        <v>87192</v>
      </c>
    </row>
    <row r="51" spans="2:7" ht="20.100000000000001" customHeight="1" x14ac:dyDescent="0.25">
      <c r="B51" s="39" t="str">
        <f>IF($C$12="Daily","Day 25",IF($C$12="Weekly","Week 25",IF($C$12="Monthly","Month 25","Year 25")))</f>
        <v>Month 25</v>
      </c>
      <c r="C51" s="32">
        <f>IF(AND(25&lt;=$C$13+1,ISNUMBER(F50)),F50,"")</f>
        <v>12971.98441773796</v>
      </c>
      <c r="D51" s="33">
        <f>IF(AND(25&lt;=$C$13,ISNUMBER(C51)),C51*((1+$C$8)^$C$19-1),"")</f>
        <v>3749.8336789537939</v>
      </c>
      <c r="E51" s="40">
        <f>IF(AND(25&lt;=$C$13,ISNUMBER(C51)),IF(C51+D51&gt;=$C$11,$C$11,MAX(0,C51+D51)),"")</f>
        <v>3633</v>
      </c>
      <c r="F51" s="41">
        <f>IF(AND(25&lt;=$C$13,ISNUMBER(C51)),MAX(0,C51+D51-E51),"")</f>
        <v>13088.818096691753</v>
      </c>
      <c r="G51" s="40">
        <f>IF(AND(25&lt;=$C$13,ISNUMBER(E51)),G50+E51,"")</f>
        <v>90825</v>
      </c>
    </row>
    <row r="52" spans="2:7" ht="20.100000000000001" customHeight="1" x14ac:dyDescent="0.25">
      <c r="B52" s="42" t="str">
        <f>IF($C$12="Daily","Day 26",IF($C$12="Weekly","Week 26",IF($C$12="Monthly","Month 26","Year 26")))</f>
        <v>Month 26</v>
      </c>
      <c r="C52" s="27">
        <f>IF(AND(26&lt;=$C$13+1,ISNUMBER(F51)),F51,"")</f>
        <v>13088.818096691753</v>
      </c>
      <c r="D52" s="28">
        <f>IF(AND(26&lt;=$C$13,ISNUMBER(C52)),C52*((1+$C$8)^$C$19-1),"")</f>
        <v>3783.6069899653257</v>
      </c>
      <c r="E52" s="43">
        <f>IF(AND(26&lt;=$C$13,ISNUMBER(C52)),IF(C52+D52&gt;=$C$11,$C$11,MAX(0,C52+D52)),"")</f>
        <v>3633</v>
      </c>
      <c r="F52" s="44">
        <f>IF(AND(26&lt;=$C$13,ISNUMBER(C52)),MAX(0,C52+D52-E52),"")</f>
        <v>13239.42508665708</v>
      </c>
      <c r="G52" s="43">
        <f>IF(AND(26&lt;=$C$13,ISNUMBER(E52)),G51+E52,"")</f>
        <v>94458</v>
      </c>
    </row>
    <row r="53" spans="2:7" ht="20.100000000000001" customHeight="1" x14ac:dyDescent="0.25">
      <c r="B53" s="39" t="str">
        <f>IF($C$12="Daily","Day 27",IF($C$12="Weekly","Week 27",IF($C$12="Monthly","Month 27","Year 27")))</f>
        <v>Month 27</v>
      </c>
      <c r="C53" s="32">
        <f>IF(AND(27&lt;=$C$13+1,ISNUMBER(F52)),F52,"")</f>
        <v>13239.42508665708</v>
      </c>
      <c r="D53" s="33">
        <f>IF(AND(27&lt;=$C$13,ISNUMBER(C53)),C53*((1+$C$8)^$C$19-1),"")</f>
        <v>3827.14320964237</v>
      </c>
      <c r="E53" s="40">
        <f>IF(AND(27&lt;=$C$13,ISNUMBER(C53)),IF(C53+D53&gt;=$C$11,$C$11,MAX(0,C53+D53)),"")</f>
        <v>3633</v>
      </c>
      <c r="F53" s="41">
        <f>IF(AND(27&lt;=$C$13,ISNUMBER(C53)),MAX(0,C53+D53-E53),"")</f>
        <v>13433.568296299451</v>
      </c>
      <c r="G53" s="40">
        <f>IF(AND(27&lt;=$C$13,ISNUMBER(E53)),G52+E53,"")</f>
        <v>98091</v>
      </c>
    </row>
    <row r="54" spans="2:7" ht="20.100000000000001" customHeight="1" x14ac:dyDescent="0.25">
      <c r="B54" s="42" t="str">
        <f>IF($C$12="Daily","Day 28",IF($C$12="Weekly","Week 28",IF($C$12="Monthly","Month 28","Year 28")))</f>
        <v>Month 28</v>
      </c>
      <c r="C54" s="27">
        <f>IF(AND(28&lt;=$C$13+1,ISNUMBER(F53)),F53,"")</f>
        <v>13433.568296299451</v>
      </c>
      <c r="D54" s="28">
        <f>IF(AND(28&lt;=$C$13,ISNUMBER(C54)),C54*((1+$C$8)^$C$19-1),"")</f>
        <v>3883.2645186582577</v>
      </c>
      <c r="E54" s="43">
        <f>IF(AND(28&lt;=$C$13,ISNUMBER(C54)),IF(C54+D54&gt;=$C$11,$C$11,MAX(0,C54+D54)),"")</f>
        <v>3633</v>
      </c>
      <c r="F54" s="44">
        <f>IF(AND(28&lt;=$C$13,ISNUMBER(C54)),MAX(0,C54+D54-E54),"")</f>
        <v>13683.832814957706</v>
      </c>
      <c r="G54" s="43">
        <f>IF(AND(28&lt;=$C$13,ISNUMBER(E54)),G53+E54,"")</f>
        <v>101724</v>
      </c>
    </row>
    <row r="55" spans="2:7" ht="20.100000000000001" customHeight="1" x14ac:dyDescent="0.25">
      <c r="B55" s="39" t="str">
        <f>IF($C$12="Daily","Day 29",IF($C$12="Weekly","Week 29",IF($C$12="Monthly","Month 29","Year 29")))</f>
        <v>Month 29</v>
      </c>
      <c r="C55" s="32">
        <f>IF(AND(29&lt;=$C$13+1,ISNUMBER(F54)),F54,"")</f>
        <v>13683.832814957706</v>
      </c>
      <c r="D55" s="33">
        <f>IF(AND(29&lt;=$C$13,ISNUMBER(C55)),C55*((1+$C$8)^$C$19-1),"")</f>
        <v>3955.6089102710507</v>
      </c>
      <c r="E55" s="40">
        <f>IF(AND(29&lt;=$C$13,ISNUMBER(C55)),IF(C55+D55&gt;=$C$11,$C$11,MAX(0,C55+D55)),"")</f>
        <v>3633</v>
      </c>
      <c r="F55" s="41">
        <f>IF(AND(29&lt;=$C$13,ISNUMBER(C55)),MAX(0,C55+D55-E55),"")</f>
        <v>14006.441725228757</v>
      </c>
      <c r="G55" s="40">
        <f>IF(AND(29&lt;=$C$13,ISNUMBER(E55)),G54+E55,"")</f>
        <v>105357</v>
      </c>
    </row>
    <row r="56" spans="2:7" ht="20.100000000000001" customHeight="1" x14ac:dyDescent="0.25">
      <c r="B56" s="42" t="str">
        <f>IF($C$12="Daily","Day 30",IF($C$12="Weekly","Week 30",IF($C$12="Monthly","Month 30","Year 30")))</f>
        <v>Month 30</v>
      </c>
      <c r="C56" s="27">
        <f>IF(AND(30&lt;=$C$13+1,ISNUMBER(F55)),F55,"")</f>
        <v>14006.441725228757</v>
      </c>
      <c r="D56" s="28">
        <f>IF(AND(30&lt;=$C$13,ISNUMBER(C56)),C56*((1+$C$8)^$C$19-1),"")</f>
        <v>4048.8660186600168</v>
      </c>
      <c r="E56" s="43">
        <f>IF(AND(30&lt;=$C$13,ISNUMBER(C56)),IF(C56+D56&gt;=$C$11,$C$11,MAX(0,C56+D56)),"")</f>
        <v>3633</v>
      </c>
      <c r="F56" s="44">
        <f>IF(AND(30&lt;=$C$13,ISNUMBER(C56)),MAX(0,C56+D56-E56),"")</f>
        <v>14422.307743888774</v>
      </c>
      <c r="G56" s="43">
        <f>IF(AND(30&lt;=$C$13,ISNUMBER(E56)),G55+E56,"")</f>
        <v>108990</v>
      </c>
    </row>
    <row r="57" spans="2:7" ht="20.100000000000001" customHeight="1" x14ac:dyDescent="0.25">
      <c r="B57" s="39" t="str">
        <f>IF($C$12="Daily","Day 31",IF($C$12="Weekly","Week 31",IF($C$12="Monthly","Month 31","Year 31")))</f>
        <v>Month 31</v>
      </c>
      <c r="C57" s="32">
        <f>IF(AND(31&lt;=$C$13+1,ISNUMBER(F56)),F56,"")</f>
        <v>14422.307743888774</v>
      </c>
      <c r="D57" s="33">
        <f>IF(AND(31&lt;=$C$13,ISNUMBER(C57)),C57*((1+$C$8)^$C$19-1),"")</f>
        <v>4169.0811185618786</v>
      </c>
      <c r="E57" s="40">
        <f>IF(AND(31&lt;=$C$13,ISNUMBER(C57)),IF(C57+D57&gt;=$C$11,$C$11,MAX(0,C57+D57)),"")</f>
        <v>3633</v>
      </c>
      <c r="F57" s="41">
        <f>IF(AND(31&lt;=$C$13,ISNUMBER(C57)),MAX(0,C57+D57-E57),"")</f>
        <v>14958.388862450651</v>
      </c>
      <c r="G57" s="40">
        <f>IF(AND(31&lt;=$C$13,ISNUMBER(E57)),G56+E57,"")</f>
        <v>112623</v>
      </c>
    </row>
    <row r="58" spans="2:7" ht="20.100000000000001" customHeight="1" x14ac:dyDescent="0.25">
      <c r="B58" s="42" t="str">
        <f>IF($C$12="Daily","Day 32",IF($C$12="Weekly","Week 32",IF($C$12="Monthly","Month 32","Year 32")))</f>
        <v>Month 32</v>
      </c>
      <c r="C58" s="27">
        <f>IF(AND(32&lt;=$C$13+1,ISNUMBER(F57)),F57,"")</f>
        <v>14958.388862450651</v>
      </c>
      <c r="D58" s="28">
        <f>IF(AND(32&lt;=$C$13,ISNUMBER(C58)),C58*((1+$C$8)^$C$19-1),"")</f>
        <v>4324.0470026008516</v>
      </c>
      <c r="E58" s="43">
        <f>IF(AND(32&lt;=$C$13,ISNUMBER(C58)),IF(C58+D58&gt;=$C$11,$C$11,MAX(0,C58+D58)),"")</f>
        <v>3633</v>
      </c>
      <c r="F58" s="44">
        <f>IF(AND(32&lt;=$C$13,ISNUMBER(C58)),MAX(0,C58+D58-E58),"")</f>
        <v>15649.435865051502</v>
      </c>
      <c r="G58" s="43">
        <f>IF(AND(32&lt;=$C$13,ISNUMBER(E58)),G57+E58,"")</f>
        <v>116256</v>
      </c>
    </row>
    <row r="59" spans="2:7" ht="20.100000000000001" customHeight="1" x14ac:dyDescent="0.25">
      <c r="B59" s="39" t="str">
        <f>IF($C$12="Daily","Day 33",IF($C$12="Weekly","Week 33",IF($C$12="Monthly","Month 33","Year 33")))</f>
        <v>Month 33</v>
      </c>
      <c r="C59" s="32">
        <f>IF(AND(33&lt;=$C$13+1,ISNUMBER(F58)),F58,"")</f>
        <v>15649.435865051502</v>
      </c>
      <c r="D59" s="33">
        <f>IF(AND(33&lt;=$C$13,ISNUMBER(C59)),C59*((1+$C$8)^$C$19-1),"")</f>
        <v>4523.8091392674178</v>
      </c>
      <c r="E59" s="40">
        <f>IF(AND(33&lt;=$C$13,ISNUMBER(C59)),IF(C59+D59&gt;=$C$11,$C$11,MAX(0,C59+D59)),"")</f>
        <v>3633</v>
      </c>
      <c r="F59" s="41">
        <f>IF(AND(33&lt;=$C$13,ISNUMBER(C59)),MAX(0,C59+D59-E59),"")</f>
        <v>16540.24500431892</v>
      </c>
      <c r="G59" s="40">
        <f>IF(AND(33&lt;=$C$13,ISNUMBER(E59)),G58+E59,"")</f>
        <v>119889</v>
      </c>
    </row>
    <row r="60" spans="2:7" ht="20.100000000000001" customHeight="1" x14ac:dyDescent="0.25">
      <c r="B60" s="42" t="str">
        <f>IF($C$12="Daily","Day 34",IF($C$12="Weekly","Week 34",IF($C$12="Monthly","Month 34","Year 34")))</f>
        <v>Month 34</v>
      </c>
      <c r="C60" s="27">
        <f>IF(AND(34&lt;=$C$13+1,ISNUMBER(F59)),F59,"")</f>
        <v>16540.24500431892</v>
      </c>
      <c r="D60" s="28">
        <f>IF(AND(34&lt;=$C$13,ISNUMBER(C60)),C60*((1+$C$8)^$C$19-1),"")</f>
        <v>4781.3168577763263</v>
      </c>
      <c r="E60" s="43">
        <f>IF(AND(34&lt;=$C$13,ISNUMBER(C60)),IF(C60+D60&gt;=$C$11,$C$11,MAX(0,C60+D60)),"")</f>
        <v>3633</v>
      </c>
      <c r="F60" s="44">
        <f>IF(AND(34&lt;=$C$13,ISNUMBER(C60)),MAX(0,C60+D60-E60),"")</f>
        <v>17688.561862095245</v>
      </c>
      <c r="G60" s="43">
        <f>IF(AND(34&lt;=$C$13,ISNUMBER(E60)),G59+E60,"")</f>
        <v>123522</v>
      </c>
    </row>
    <row r="61" spans="2:7" ht="20.100000000000001" customHeight="1" x14ac:dyDescent="0.25">
      <c r="B61" s="39" t="str">
        <f>IF($C$12="Daily","Day 35",IF($C$12="Weekly","Week 35",IF($C$12="Monthly","Month 35","Year 35")))</f>
        <v>Month 35</v>
      </c>
      <c r="C61" s="32">
        <f>IF(AND(35&lt;=$C$13+1,ISNUMBER(F60)),F60,"")</f>
        <v>17688.561862095245</v>
      </c>
      <c r="D61" s="33">
        <f>IF(AND(35&lt;=$C$13,ISNUMBER(C61)),C61*((1+$C$8)^$C$19-1),"")</f>
        <v>5113.2627720430755</v>
      </c>
      <c r="E61" s="40">
        <f>IF(AND(35&lt;=$C$13,ISNUMBER(C61)),IF(C61+D61&gt;=$C$11,$C$11,MAX(0,C61+D61)),"")</f>
        <v>3633</v>
      </c>
      <c r="F61" s="41">
        <f>IF(AND(35&lt;=$C$13,ISNUMBER(C61)),MAX(0,C61+D61-E61),"")</f>
        <v>19168.82463413832</v>
      </c>
      <c r="G61" s="40">
        <f>IF(AND(35&lt;=$C$13,ISNUMBER(E61)),G60+E61,"")</f>
        <v>127155</v>
      </c>
    </row>
    <row r="62" spans="2:7" ht="20.100000000000001" customHeight="1" x14ac:dyDescent="0.25">
      <c r="B62" s="42" t="str">
        <f>IF($C$12="Daily","Day 36",IF($C$12="Weekly","Week 36",IF($C$12="Monthly","Month 36","Year 36")))</f>
        <v>Month 36</v>
      </c>
      <c r="C62" s="27">
        <f>IF(AND(36&lt;=$C$13+1,ISNUMBER(F61)),F61,"")</f>
        <v>19168.82463413832</v>
      </c>
      <c r="D62" s="28">
        <f>IF(AND(36&lt;=$C$13,ISNUMBER(C62)),C62*((1+$C$8)^$C$19-1),"")</f>
        <v>5541.1648583821952</v>
      </c>
      <c r="E62" s="43">
        <f>IF(AND(36&lt;=$C$13,ISNUMBER(C62)),IF(C62+D62&gt;=$C$11,$C$11,MAX(0,C62+D62)),"")</f>
        <v>3633</v>
      </c>
      <c r="F62" s="44">
        <f>IF(AND(36&lt;=$C$13,ISNUMBER(C62)),MAX(0,C62+D62-E62),"")</f>
        <v>21076.989492520515</v>
      </c>
      <c r="G62" s="43">
        <f>IF(AND(36&lt;=$C$13,ISNUMBER(E62)),G61+E62,"")</f>
        <v>130788</v>
      </c>
    </row>
    <row r="64" spans="2:7" ht="110.1" customHeight="1" x14ac:dyDescent="0.25">
      <c r="B64" s="77" t="s">
        <v>35</v>
      </c>
      <c r="C64" s="78"/>
      <c r="D64" s="78"/>
      <c r="E64" s="78"/>
      <c r="F64" s="78"/>
      <c r="G64" s="79"/>
    </row>
  </sheetData>
  <mergeCells count="14">
    <mergeCell ref="B64:G64"/>
    <mergeCell ref="B25:G25"/>
    <mergeCell ref="D10:F10"/>
    <mergeCell ref="D13:F13"/>
    <mergeCell ref="A1:G1"/>
    <mergeCell ref="D11:F11"/>
    <mergeCell ref="B6:F6"/>
    <mergeCell ref="B15:F15"/>
    <mergeCell ref="D12:F12"/>
    <mergeCell ref="B4:G4"/>
    <mergeCell ref="A2:G2"/>
    <mergeCell ref="D9:F9"/>
    <mergeCell ref="D7:F7"/>
    <mergeCell ref="D8:F8"/>
  </mergeCells>
  <dataValidations count="1">
    <dataValidation type="list" allowBlank="1" showErrorMessage="1" errorTitle="Invalid Selection" error="Please choose: Daily, Weekly, Monthly, or Annually" sqref="C12" xr:uid="{00000000-0002-0000-0400-000000000000}">
      <formula1>"Daily,Weekly,Monthly,Annually"</formula1>
    </dataValidation>
  </dataValidations>
  <hyperlinks>
    <hyperlink ref="A2" r:id="rId1" xr:uid="{00000000-0004-0000-0400-000000000000}"/>
  </hyperlinks>
  <pageMargins left="0.75" right="0.75" top="1" bottom="1" header="0.5" footer="0.5"/>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7"/>
  <sheetViews>
    <sheetView tabSelected="1" workbookViewId="0">
      <selection activeCell="K14" sqref="K14"/>
    </sheetView>
  </sheetViews>
  <sheetFormatPr defaultRowHeight="15" x14ac:dyDescent="0.25"/>
  <cols>
    <col min="1" max="1" width="1" customWidth="1"/>
    <col min="2" max="2" width="17" customWidth="1"/>
    <col min="3" max="3" width="20" customWidth="1"/>
    <col min="4" max="4" width="29.85546875" customWidth="1"/>
    <col min="5" max="5" width="28" customWidth="1"/>
    <col min="6" max="6" width="26.140625" customWidth="1"/>
    <col min="7" max="7" width="29.28515625" customWidth="1"/>
    <col min="8" max="8" width="1" customWidth="1"/>
  </cols>
  <sheetData>
    <row r="1" spans="1:7" ht="36" customHeight="1" x14ac:dyDescent="0.25">
      <c r="A1" s="73" t="s">
        <v>193</v>
      </c>
      <c r="B1" s="72"/>
      <c r="C1" s="72"/>
      <c r="D1" s="72"/>
      <c r="E1" s="72"/>
      <c r="F1" s="72"/>
      <c r="G1" s="72"/>
    </row>
    <row r="2" spans="1:7" ht="15.95" customHeight="1" x14ac:dyDescent="0.25">
      <c r="A2" s="76" t="s">
        <v>1</v>
      </c>
      <c r="B2" s="72"/>
      <c r="C2" s="72"/>
      <c r="D2" s="72"/>
      <c r="E2" s="72"/>
      <c r="F2" s="72"/>
      <c r="G2" s="72"/>
    </row>
    <row r="4" spans="1:7" ht="20.100000000000001" customHeight="1" x14ac:dyDescent="0.25">
      <c r="B4" s="74" t="s">
        <v>194</v>
      </c>
      <c r="C4" s="72"/>
      <c r="D4" s="72"/>
      <c r="E4" s="72"/>
      <c r="F4" s="72"/>
      <c r="G4" s="97"/>
    </row>
    <row r="5" spans="1:7" ht="21.95" customHeight="1" x14ac:dyDescent="0.25">
      <c r="B5" s="2" t="s">
        <v>143</v>
      </c>
      <c r="C5" s="48">
        <v>1500</v>
      </c>
    </row>
    <row r="6" spans="1:7" ht="21.95" customHeight="1" x14ac:dyDescent="0.25">
      <c r="B6" s="2" t="s">
        <v>177</v>
      </c>
      <c r="C6" s="49">
        <v>7.0000000000000001E-3</v>
      </c>
    </row>
    <row r="7" spans="1:7" ht="21.95" customHeight="1" x14ac:dyDescent="0.25">
      <c r="B7" s="2" t="s">
        <v>195</v>
      </c>
      <c r="C7" s="48">
        <f>'Growth Calculator'!C11</f>
        <v>0</v>
      </c>
    </row>
    <row r="8" spans="1:7" ht="21.95" customHeight="1" x14ac:dyDescent="0.25">
      <c r="B8" s="2" t="s">
        <v>136</v>
      </c>
      <c r="C8" s="50">
        <v>365</v>
      </c>
    </row>
    <row r="10" spans="1:7" ht="21.95" customHeight="1" x14ac:dyDescent="0.25">
      <c r="B10" s="23" t="s">
        <v>196</v>
      </c>
      <c r="C10" s="23" t="s">
        <v>30</v>
      </c>
      <c r="D10" s="23" t="s">
        <v>31</v>
      </c>
      <c r="E10" s="23" t="s">
        <v>197</v>
      </c>
      <c r="F10" s="23" t="s">
        <v>33</v>
      </c>
      <c r="G10" s="23" t="s">
        <v>198</v>
      </c>
    </row>
    <row r="11" spans="1:7" ht="20.100000000000001" customHeight="1" x14ac:dyDescent="0.25">
      <c r="B11" s="51">
        <v>1</v>
      </c>
      <c r="C11" s="32">
        <f>C5</f>
        <v>1500</v>
      </c>
      <c r="D11" s="33">
        <f>C11*((1+C6)^30-1)</f>
        <v>349.16376910690281</v>
      </c>
      <c r="E11" s="32">
        <f>0</f>
        <v>0</v>
      </c>
      <c r="F11" s="41">
        <f t="shared" ref="F11:F34" si="0">C11+D11+E11</f>
        <v>1849.1637691069027</v>
      </c>
      <c r="G11" s="33">
        <f>D11</f>
        <v>349.16376910690281</v>
      </c>
    </row>
    <row r="12" spans="1:7" ht="20.100000000000001" customHeight="1" x14ac:dyDescent="0.25">
      <c r="B12" s="52">
        <v>2</v>
      </c>
      <c r="C12" s="27">
        <f t="shared" ref="C12:C34" si="1">F11</f>
        <v>1849.1637691069027</v>
      </c>
      <c r="D12" s="28">
        <f>C12*((1+C6)^30-1)</f>
        <v>430.44066087819516</v>
      </c>
      <c r="E12" s="27">
        <f>IF(C7&gt;0,C7,0)</f>
        <v>0</v>
      </c>
      <c r="F12" s="44">
        <f t="shared" si="0"/>
        <v>2279.6044299850978</v>
      </c>
      <c r="G12" s="28">
        <f t="shared" ref="G12:G34" si="2">G11+D12</f>
        <v>779.60442998509802</v>
      </c>
    </row>
    <row r="13" spans="1:7" ht="20.100000000000001" customHeight="1" x14ac:dyDescent="0.25">
      <c r="B13" s="51">
        <v>3</v>
      </c>
      <c r="C13" s="32">
        <f t="shared" si="1"/>
        <v>2279.6044299850978</v>
      </c>
      <c r="D13" s="33">
        <f>C13*((1+C6)^30-1)</f>
        <v>530.63684989759304</v>
      </c>
      <c r="E13" s="32">
        <f>IF(C7&gt;0,C7,0)</f>
        <v>0</v>
      </c>
      <c r="F13" s="41">
        <f t="shared" si="0"/>
        <v>2810.2412798826908</v>
      </c>
      <c r="G13" s="33">
        <f t="shared" si="2"/>
        <v>1310.2412798826911</v>
      </c>
    </row>
    <row r="14" spans="1:7" ht="20.100000000000001" customHeight="1" x14ac:dyDescent="0.25">
      <c r="B14" s="52">
        <v>4</v>
      </c>
      <c r="C14" s="27">
        <f t="shared" si="1"/>
        <v>2810.2412798826908</v>
      </c>
      <c r="D14" s="28">
        <f>C14*((1+C6)^30-1)</f>
        <v>654.15629158909792</v>
      </c>
      <c r="E14" s="27">
        <f>IF(C7&gt;0,C7,0)</f>
        <v>0</v>
      </c>
      <c r="F14" s="44">
        <f t="shared" si="0"/>
        <v>3464.397571471789</v>
      </c>
      <c r="G14" s="28">
        <f t="shared" si="2"/>
        <v>1964.397571471789</v>
      </c>
    </row>
    <row r="15" spans="1:7" ht="20.100000000000001" customHeight="1" x14ac:dyDescent="0.25">
      <c r="B15" s="51">
        <v>5</v>
      </c>
      <c r="C15" s="32">
        <f t="shared" si="1"/>
        <v>3464.397571471789</v>
      </c>
      <c r="D15" s="33">
        <f>C15*((1+C6)^30-1)</f>
        <v>806.42807582659373</v>
      </c>
      <c r="E15" s="32">
        <f>IF(C7&gt;0,C7,0)</f>
        <v>0</v>
      </c>
      <c r="F15" s="41">
        <f t="shared" si="0"/>
        <v>4270.825647298383</v>
      </c>
      <c r="G15" s="33">
        <f t="shared" si="2"/>
        <v>2770.8256472983826</v>
      </c>
    </row>
    <row r="16" spans="1:7" ht="20.100000000000001" customHeight="1" x14ac:dyDescent="0.25">
      <c r="B16" s="52">
        <v>6</v>
      </c>
      <c r="C16" s="27">
        <f t="shared" si="1"/>
        <v>4270.825647298383</v>
      </c>
      <c r="D16" s="28">
        <f>C16*((1+C6)^30-1)</f>
        <v>994.14505347275428</v>
      </c>
      <c r="E16" s="27">
        <f>IF(C7&gt;0,C7,0)</f>
        <v>0</v>
      </c>
      <c r="F16" s="44">
        <f t="shared" si="0"/>
        <v>5264.9707007711377</v>
      </c>
      <c r="G16" s="28">
        <f t="shared" si="2"/>
        <v>3764.9707007711368</v>
      </c>
    </row>
    <row r="17" spans="2:7" ht="20.100000000000001" customHeight="1" x14ac:dyDescent="0.25">
      <c r="B17" s="51">
        <v>7</v>
      </c>
      <c r="C17" s="32">
        <f t="shared" si="1"/>
        <v>5264.9707007711377</v>
      </c>
      <c r="D17" s="33">
        <f>C17*((1+C6)^30-1)</f>
        <v>1225.5580094124414</v>
      </c>
      <c r="E17" s="32">
        <f>IF(C7&gt;0,C7,0)</f>
        <v>0</v>
      </c>
      <c r="F17" s="41">
        <f t="shared" si="0"/>
        <v>6490.5287101835793</v>
      </c>
      <c r="G17" s="33">
        <f t="shared" si="2"/>
        <v>4990.5287101835784</v>
      </c>
    </row>
    <row r="18" spans="2:7" ht="20.100000000000001" customHeight="1" x14ac:dyDescent="0.25">
      <c r="B18" s="52">
        <v>8</v>
      </c>
      <c r="C18" s="27">
        <f t="shared" si="1"/>
        <v>6490.5287101835793</v>
      </c>
      <c r="D18" s="28">
        <f>C18*((1+C6)^30-1)</f>
        <v>1510.838311962842</v>
      </c>
      <c r="E18" s="27">
        <f>IF(C7&gt;0,C7,0)</f>
        <v>0</v>
      </c>
      <c r="F18" s="44">
        <f t="shared" si="0"/>
        <v>8001.3670221464217</v>
      </c>
      <c r="G18" s="28">
        <f t="shared" si="2"/>
        <v>6501.3670221464199</v>
      </c>
    </row>
    <row r="19" spans="2:7" ht="20.100000000000001" customHeight="1" x14ac:dyDescent="0.25">
      <c r="B19" s="51">
        <v>9</v>
      </c>
      <c r="C19" s="32">
        <f t="shared" si="1"/>
        <v>8001.3670221464217</v>
      </c>
      <c r="D19" s="33">
        <f>C19*((1+C6)^30-1)</f>
        <v>1862.52497830688</v>
      </c>
      <c r="E19" s="32">
        <f>IF(C7&gt;0,C7,0)</f>
        <v>0</v>
      </c>
      <c r="F19" s="41">
        <f t="shared" si="0"/>
        <v>9863.8920004533011</v>
      </c>
      <c r="G19" s="33">
        <f t="shared" si="2"/>
        <v>8363.8920004532993</v>
      </c>
    </row>
    <row r="20" spans="2:7" ht="20.100000000000001" customHeight="1" x14ac:dyDescent="0.25">
      <c r="B20" s="52">
        <v>10</v>
      </c>
      <c r="C20" s="27">
        <f t="shared" si="1"/>
        <v>9863.8920004533011</v>
      </c>
      <c r="D20" s="28">
        <f>C20*((1+C6)^30-1)</f>
        <v>2296.0758059611348</v>
      </c>
      <c r="E20" s="27">
        <f>IF(C7&gt;0,C7,0)</f>
        <v>0</v>
      </c>
      <c r="F20" s="44">
        <f t="shared" si="0"/>
        <v>12159.967806414435</v>
      </c>
      <c r="G20" s="28">
        <f t="shared" si="2"/>
        <v>10659.967806414434</v>
      </c>
    </row>
    <row r="21" spans="2:7" ht="20.100000000000001" customHeight="1" x14ac:dyDescent="0.25">
      <c r="B21" s="51">
        <v>11</v>
      </c>
      <c r="C21" s="32">
        <f t="shared" si="1"/>
        <v>12159.967806414435</v>
      </c>
      <c r="D21" s="33">
        <f>C21*((1+C6)^30-1)</f>
        <v>2830.5467943375079</v>
      </c>
      <c r="E21" s="32">
        <f>IF(C7&gt;0,C7,0)</f>
        <v>0</v>
      </c>
      <c r="F21" s="41">
        <f t="shared" si="0"/>
        <v>14990.514600751943</v>
      </c>
      <c r="G21" s="33">
        <f t="shared" si="2"/>
        <v>13490.514600751942</v>
      </c>
    </row>
    <row r="22" spans="2:7" ht="20.100000000000001" customHeight="1" x14ac:dyDescent="0.25">
      <c r="B22" s="52">
        <v>12</v>
      </c>
      <c r="C22" s="27">
        <f t="shared" si="1"/>
        <v>14990.514600751943</v>
      </c>
      <c r="D22" s="28">
        <f>C22*((1+C6)^30-1)</f>
        <v>3489.4297192337381</v>
      </c>
      <c r="E22" s="27">
        <f>IF(C7&gt;0,C7,0)</f>
        <v>0</v>
      </c>
      <c r="F22" s="44">
        <f t="shared" si="0"/>
        <v>18479.944319985683</v>
      </c>
      <c r="G22" s="28">
        <f t="shared" si="2"/>
        <v>16979.94431998568</v>
      </c>
    </row>
    <row r="23" spans="2:7" ht="20.100000000000001" customHeight="1" x14ac:dyDescent="0.25">
      <c r="B23" s="51">
        <v>13</v>
      </c>
      <c r="C23" s="32">
        <f t="shared" si="1"/>
        <v>18479.944319985683</v>
      </c>
      <c r="D23" s="33">
        <f>C23*((1+C6)^30-1)</f>
        <v>4301.6846744346012</v>
      </c>
      <c r="E23" s="32">
        <f>IF(C7&gt;0,C7,0)</f>
        <v>0</v>
      </c>
      <c r="F23" s="41">
        <f t="shared" si="0"/>
        <v>22781.628994420284</v>
      </c>
      <c r="G23" s="33">
        <f t="shared" si="2"/>
        <v>21281.62899442028</v>
      </c>
    </row>
    <row r="24" spans="2:7" ht="20.100000000000001" customHeight="1" x14ac:dyDescent="0.25">
      <c r="B24" s="52">
        <v>14</v>
      </c>
      <c r="C24" s="27">
        <f t="shared" si="1"/>
        <v>22781.628994420284</v>
      </c>
      <c r="D24" s="28">
        <f>C24*((1+C6)^30-1)</f>
        <v>5303.0129640579244</v>
      </c>
      <c r="E24" s="27">
        <f>IF(C7&gt;0,C7,0)</f>
        <v>0</v>
      </c>
      <c r="F24" s="44">
        <f t="shared" si="0"/>
        <v>28084.641958478209</v>
      </c>
      <c r="G24" s="28">
        <f t="shared" si="2"/>
        <v>26584.641958478205</v>
      </c>
    </row>
    <row r="25" spans="2:7" ht="20.100000000000001" customHeight="1" x14ac:dyDescent="0.25">
      <c r="B25" s="51">
        <v>15</v>
      </c>
      <c r="C25" s="32">
        <f t="shared" si="1"/>
        <v>28084.641958478209</v>
      </c>
      <c r="D25" s="33">
        <f>C25*((1+C6)^30-1)</f>
        <v>6537.4262934934141</v>
      </c>
      <c r="E25" s="32">
        <f>IF(C7&gt;0,C7,0)</f>
        <v>0</v>
      </c>
      <c r="F25" s="41">
        <f t="shared" si="0"/>
        <v>34622.068251971621</v>
      </c>
      <c r="G25" s="33">
        <f t="shared" si="2"/>
        <v>33122.068251971621</v>
      </c>
    </row>
    <row r="26" spans="2:7" ht="20.100000000000001" customHeight="1" x14ac:dyDescent="0.25">
      <c r="B26" s="52">
        <v>16</v>
      </c>
      <c r="C26" s="27">
        <f t="shared" si="1"/>
        <v>34622.068251971621</v>
      </c>
      <c r="D26" s="28">
        <f>C26*((1+C6)^30-1)</f>
        <v>8059.1812300899001</v>
      </c>
      <c r="E26" s="27">
        <f>IF(C7&gt;0,C7,0)</f>
        <v>0</v>
      </c>
      <c r="F26" s="44">
        <f t="shared" si="0"/>
        <v>42681.249482061525</v>
      </c>
      <c r="G26" s="28">
        <f t="shared" si="2"/>
        <v>41181.249482061525</v>
      </c>
    </row>
    <row r="27" spans="2:7" ht="20.100000000000001" customHeight="1" x14ac:dyDescent="0.25">
      <c r="B27" s="51">
        <v>17</v>
      </c>
      <c r="C27" s="32">
        <f t="shared" si="1"/>
        <v>42681.249482061525</v>
      </c>
      <c r="D27" s="33">
        <f>C27*((1+C6)^30-1)</f>
        <v>9935.1639595657634</v>
      </c>
      <c r="E27" s="32">
        <f>IF(C7&gt;0,C7,0)</f>
        <v>0</v>
      </c>
      <c r="F27" s="41">
        <f t="shared" si="0"/>
        <v>52616.413441627286</v>
      </c>
      <c r="G27" s="33">
        <f t="shared" si="2"/>
        <v>51116.413441627286</v>
      </c>
    </row>
    <row r="28" spans="2:7" ht="20.100000000000001" customHeight="1" x14ac:dyDescent="0.25">
      <c r="B28" s="52">
        <v>18</v>
      </c>
      <c r="C28" s="27">
        <f t="shared" si="1"/>
        <v>52616.413441627286</v>
      </c>
      <c r="D28" s="28">
        <f>C28*((1+C6)^30-1)</f>
        <v>12247.830156110458</v>
      </c>
      <c r="E28" s="27">
        <f>IF(C7&gt;0,C7,0)</f>
        <v>0</v>
      </c>
      <c r="F28" s="44">
        <f t="shared" si="0"/>
        <v>64864.243597737746</v>
      </c>
      <c r="G28" s="28">
        <f t="shared" si="2"/>
        <v>63364.243597737746</v>
      </c>
    </row>
    <row r="29" spans="2:7" ht="20.100000000000001" customHeight="1" x14ac:dyDescent="0.25">
      <c r="B29" s="51">
        <v>19</v>
      </c>
      <c r="C29" s="32">
        <f t="shared" si="1"/>
        <v>64864.243597737746</v>
      </c>
      <c r="D29" s="33">
        <f>C29*((1+C6)^30-1)</f>
        <v>15098.829183236268</v>
      </c>
      <c r="E29" s="32">
        <f>IF(C7&gt;0,C7,0)</f>
        <v>0</v>
      </c>
      <c r="F29" s="41">
        <f t="shared" si="0"/>
        <v>79963.07278097402</v>
      </c>
      <c r="G29" s="33">
        <f t="shared" si="2"/>
        <v>78463.07278097402</v>
      </c>
    </row>
    <row r="30" spans="2:7" ht="20.100000000000001" customHeight="1" x14ac:dyDescent="0.25">
      <c r="B30" s="52">
        <v>20</v>
      </c>
      <c r="C30" s="27">
        <f t="shared" si="1"/>
        <v>79963.07278097402</v>
      </c>
      <c r="D30" s="28">
        <f>C30*((1+C6)^30-1)</f>
        <v>18613.471921049651</v>
      </c>
      <c r="E30" s="27">
        <f>IF(C7&gt;0,C7,0)</f>
        <v>0</v>
      </c>
      <c r="F30" s="44">
        <f t="shared" si="0"/>
        <v>98576.544702023675</v>
      </c>
      <c r="G30" s="28">
        <f t="shared" si="2"/>
        <v>97076.544702023675</v>
      </c>
    </row>
    <row r="31" spans="2:7" ht="20.100000000000001" customHeight="1" x14ac:dyDescent="0.25">
      <c r="B31" s="51">
        <v>21</v>
      </c>
      <c r="C31" s="32">
        <f t="shared" si="1"/>
        <v>98576.544702023675</v>
      </c>
      <c r="D31" s="33">
        <f>C31*((1+C6)^30-1)</f>
        <v>22946.238595795789</v>
      </c>
      <c r="E31" s="32">
        <f>IF(C7&gt;0,C7,0)</f>
        <v>0</v>
      </c>
      <c r="F31" s="41">
        <f t="shared" si="0"/>
        <v>121522.78329781946</v>
      </c>
      <c r="G31" s="33">
        <f t="shared" si="2"/>
        <v>120022.78329781946</v>
      </c>
    </row>
    <row r="32" spans="2:7" ht="20.100000000000001" customHeight="1" x14ac:dyDescent="0.25">
      <c r="B32" s="52">
        <v>22</v>
      </c>
      <c r="C32" s="27">
        <f t="shared" si="1"/>
        <v>121522.78329781946</v>
      </c>
      <c r="D32" s="28">
        <f>C32*((1+C6)^30-1)</f>
        <v>28287.56869908535</v>
      </c>
      <c r="E32" s="27">
        <f>IF(C7&gt;0,C7,0)</f>
        <v>0</v>
      </c>
      <c r="F32" s="44">
        <f t="shared" si="0"/>
        <v>149810.35199690482</v>
      </c>
      <c r="G32" s="28">
        <f t="shared" si="2"/>
        <v>148310.35199690482</v>
      </c>
    </row>
    <row r="33" spans="2:7" ht="20.100000000000001" customHeight="1" x14ac:dyDescent="0.25">
      <c r="B33" s="51">
        <v>23</v>
      </c>
      <c r="C33" s="32">
        <f t="shared" si="1"/>
        <v>149810.35199690482</v>
      </c>
      <c r="D33" s="33">
        <f>C33*((1+C6)^30-1)</f>
        <v>34872.231436314076</v>
      </c>
      <c r="E33" s="32">
        <f>IF(C7&gt;0,C7,0)</f>
        <v>0</v>
      </c>
      <c r="F33" s="41">
        <f t="shared" si="0"/>
        <v>184682.58343321888</v>
      </c>
      <c r="G33" s="33">
        <f t="shared" si="2"/>
        <v>183182.58343321888</v>
      </c>
    </row>
    <row r="34" spans="2:7" ht="20.100000000000001" customHeight="1" x14ac:dyDescent="0.25">
      <c r="B34" s="52">
        <v>24</v>
      </c>
      <c r="C34" s="27">
        <f t="shared" si="1"/>
        <v>184682.58343321888</v>
      </c>
      <c r="D34" s="28">
        <f>C34*((1+C6)^30-1)</f>
        <v>42989.644613295168</v>
      </c>
      <c r="E34" s="27">
        <f>IF(C7&gt;0,C7,0)</f>
        <v>0</v>
      </c>
      <c r="F34" s="44">
        <f t="shared" si="0"/>
        <v>227672.22804651404</v>
      </c>
      <c r="G34" s="28">
        <f t="shared" si="2"/>
        <v>226172.22804651404</v>
      </c>
    </row>
    <row r="35" spans="2:7" ht="21.95" customHeight="1" x14ac:dyDescent="0.25">
      <c r="B35" s="53" t="s">
        <v>199</v>
      </c>
      <c r="C35" s="54"/>
      <c r="D35" s="55">
        <f>SUM(D11:D34)</f>
        <v>226172.22804651404</v>
      </c>
      <c r="E35" s="56">
        <f>SUM(E11:E34)</f>
        <v>0</v>
      </c>
      <c r="F35" s="57">
        <f>F34</f>
        <v>227672.22804651404</v>
      </c>
      <c r="G35" s="55">
        <f>G34</f>
        <v>226172.22804651404</v>
      </c>
    </row>
    <row r="37" spans="2:7" ht="110.1" customHeight="1" x14ac:dyDescent="0.25">
      <c r="B37" s="77" t="s">
        <v>35</v>
      </c>
      <c r="C37" s="78"/>
      <c r="D37" s="78"/>
      <c r="E37" s="78"/>
      <c r="F37" s="78"/>
      <c r="G37" s="79"/>
    </row>
  </sheetData>
  <mergeCells count="4">
    <mergeCell ref="B4:F4"/>
    <mergeCell ref="B37:G37"/>
    <mergeCell ref="A2:G2"/>
    <mergeCell ref="A1:G1"/>
  </mergeCells>
  <hyperlinks>
    <hyperlink ref="A2" r:id="rId1" xr:uid="{00000000-0004-0000-0500-000000000000}"/>
  </hyperlinks>
  <pageMargins left="0.75" right="0.75" top="1" bottom="1" header="0.5" footer="0.5"/>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How to Use</vt:lpstr>
      <vt:lpstr>Growth Calculator</vt:lpstr>
      <vt:lpstr>Goal Seek – Find Principal</vt:lpstr>
      <vt:lpstr>Withdrawal – Profit Taking</vt:lpstr>
      <vt:lpstr>Withdrawal – Scheduled Partial</vt:lpstr>
      <vt:lpstr>Monthly Schedule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Seth Prescott</cp:lastModifiedBy>
  <dcterms:created xsi:type="dcterms:W3CDTF">2026-04-19T21:41:20Z</dcterms:created>
  <dcterms:modified xsi:type="dcterms:W3CDTF">2026-04-20T04:45:06Z</dcterms:modified>
</cp:coreProperties>
</file>