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sethp\Dropbox\1 Crypto\CompoundFlow\"/>
    </mc:Choice>
  </mc:AlternateContent>
  <xr:revisionPtr revIDLastSave="0" documentId="8_{C2AC7859-BD16-4C43-880F-062D879C295F}" xr6:coauthVersionLast="47" xr6:coauthVersionMax="47" xr10:uidLastSave="{00000000-0000-0000-0000-000000000000}"/>
  <bookViews>
    <workbookView xWindow="-28920" yWindow="-120" windowWidth="29040" windowHeight="15720" xr2:uid="{00000000-000D-0000-FFFF-FFFF00000000}"/>
  </bookViews>
  <sheets>
    <sheet name="How to Use" sheetId="1" r:id="rId1"/>
    <sheet name="Portfolio Summary" sheetId="2" r:id="rId2"/>
    <sheet name="Holding 1" sheetId="3" r:id="rId3"/>
    <sheet name="Holding 2" sheetId="4" r:id="rId4"/>
    <sheet name="Holding 3" sheetId="5" r:id="rId5"/>
    <sheet name="Holding 4" sheetId="6" r:id="rId6"/>
    <sheet name="Holding 5"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2" i="6" l="1"/>
  <c r="E81" i="6"/>
  <c r="E80" i="6"/>
  <c r="E79" i="6"/>
  <c r="E78" i="6"/>
  <c r="E77" i="6"/>
  <c r="E76" i="6"/>
  <c r="E75" i="6"/>
  <c r="E74" i="6"/>
  <c r="E73" i="6"/>
  <c r="E72" i="6"/>
  <c r="E71" i="6"/>
  <c r="C71" i="6"/>
  <c r="C62" i="6"/>
  <c r="C61" i="6"/>
  <c r="C50" i="6"/>
  <c r="C47" i="6"/>
  <c r="C46" i="6"/>
  <c r="C44" i="6"/>
  <c r="C36" i="6"/>
  <c r="C35" i="6"/>
  <c r="C34" i="6"/>
  <c r="C33" i="6"/>
  <c r="C32" i="6"/>
  <c r="C25" i="6"/>
  <c r="C45" i="6" s="1"/>
  <c r="C19" i="6"/>
  <c r="C18" i="6"/>
  <c r="C20" i="6" s="1"/>
  <c r="D11" i="6"/>
  <c r="D10" i="6"/>
  <c r="D9" i="6"/>
  <c r="E82" i="5"/>
  <c r="E81" i="5"/>
  <c r="E80" i="5"/>
  <c r="E79" i="5"/>
  <c r="E78" i="5"/>
  <c r="E77" i="5"/>
  <c r="E76" i="5"/>
  <c r="E75" i="5"/>
  <c r="E74" i="5"/>
  <c r="E73" i="5"/>
  <c r="E72" i="5"/>
  <c r="E71" i="5"/>
  <c r="C71" i="5"/>
  <c r="C62" i="5"/>
  <c r="C61" i="5"/>
  <c r="C50" i="5"/>
  <c r="C47" i="5"/>
  <c r="C46" i="5"/>
  <c r="C44" i="5"/>
  <c r="C36" i="5"/>
  <c r="C35" i="5"/>
  <c r="C34" i="5"/>
  <c r="C33" i="5"/>
  <c r="C32" i="5"/>
  <c r="C25" i="5"/>
  <c r="C45" i="5" s="1"/>
  <c r="C19" i="5"/>
  <c r="C18" i="5"/>
  <c r="C20" i="5" s="1"/>
  <c r="D11" i="5"/>
  <c r="D10" i="5"/>
  <c r="D9" i="5"/>
  <c r="E82" i="4"/>
  <c r="E81" i="4"/>
  <c r="E80" i="4"/>
  <c r="E79" i="4"/>
  <c r="E78" i="4"/>
  <c r="E77" i="4"/>
  <c r="E76" i="4"/>
  <c r="E75" i="4"/>
  <c r="E74" i="4"/>
  <c r="E73" i="4"/>
  <c r="E72" i="4"/>
  <c r="E71" i="4"/>
  <c r="C71" i="4"/>
  <c r="C62" i="4"/>
  <c r="C61" i="4"/>
  <c r="C50" i="4"/>
  <c r="C47" i="4"/>
  <c r="C46" i="4"/>
  <c r="C44" i="4"/>
  <c r="C36" i="4"/>
  <c r="C35" i="4"/>
  <c r="C34" i="4"/>
  <c r="C33" i="4"/>
  <c r="C32" i="4"/>
  <c r="C25" i="4"/>
  <c r="C45" i="4" s="1"/>
  <c r="C19" i="4"/>
  <c r="C18" i="4"/>
  <c r="C20" i="4" s="1"/>
  <c r="D11" i="4"/>
  <c r="D10" i="4"/>
  <c r="D9" i="4"/>
  <c r="E82" i="3"/>
  <c r="E81" i="3"/>
  <c r="E80" i="3"/>
  <c r="E79" i="3"/>
  <c r="E78" i="3"/>
  <c r="E77" i="3"/>
  <c r="E76" i="3"/>
  <c r="E75" i="3"/>
  <c r="E74" i="3"/>
  <c r="E73" i="3"/>
  <c r="E72" i="3"/>
  <c r="E71" i="3"/>
  <c r="C71" i="3"/>
  <c r="C62" i="3"/>
  <c r="C61" i="3"/>
  <c r="C50" i="3"/>
  <c r="C47" i="3"/>
  <c r="C46" i="3"/>
  <c r="C44" i="3"/>
  <c r="C36" i="3"/>
  <c r="C35" i="3"/>
  <c r="C34" i="3"/>
  <c r="C33" i="3"/>
  <c r="C32" i="3"/>
  <c r="C19" i="3"/>
  <c r="C12" i="3"/>
  <c r="C11" i="3"/>
  <c r="D11" i="3" s="1"/>
  <c r="C10" i="3"/>
  <c r="D10" i="3" s="1"/>
  <c r="D9" i="3"/>
  <c r="I39" i="2"/>
  <c r="H39" i="2"/>
  <c r="G39" i="2"/>
  <c r="F39" i="2"/>
  <c r="E39" i="2"/>
  <c r="D39" i="2"/>
  <c r="C39" i="2"/>
  <c r="I38" i="2"/>
  <c r="H38" i="2"/>
  <c r="G38" i="2"/>
  <c r="F38" i="2"/>
  <c r="E38" i="2"/>
  <c r="D38" i="2"/>
  <c r="C38" i="2"/>
  <c r="I37" i="2"/>
  <c r="H37" i="2"/>
  <c r="G37" i="2"/>
  <c r="F37" i="2"/>
  <c r="E37" i="2"/>
  <c r="D37" i="2"/>
  <c r="C37" i="2"/>
  <c r="I36" i="2"/>
  <c r="H36" i="2"/>
  <c r="G36" i="2"/>
  <c r="F36" i="2"/>
  <c r="E36" i="2"/>
  <c r="D36" i="2"/>
  <c r="C36" i="2"/>
  <c r="I35" i="2"/>
  <c r="H35" i="2"/>
  <c r="G35" i="2"/>
  <c r="G40" i="2" s="1"/>
  <c r="F35" i="2"/>
  <c r="E35" i="2"/>
  <c r="D35" i="2"/>
  <c r="D40" i="2" s="1"/>
  <c r="C35" i="2"/>
  <c r="I30" i="2"/>
  <c r="H30" i="2"/>
  <c r="G30" i="2"/>
  <c r="F30" i="2"/>
  <c r="E30" i="2"/>
  <c r="D30" i="2"/>
  <c r="C30" i="2"/>
  <c r="I29" i="2"/>
  <c r="H29" i="2"/>
  <c r="G29" i="2"/>
  <c r="F29" i="2"/>
  <c r="E29" i="2"/>
  <c r="D29" i="2"/>
  <c r="C29" i="2"/>
  <c r="I28" i="2"/>
  <c r="H28" i="2"/>
  <c r="G28" i="2"/>
  <c r="F28" i="2"/>
  <c r="E28" i="2"/>
  <c r="D28" i="2"/>
  <c r="C28" i="2"/>
  <c r="I27" i="2"/>
  <c r="H27" i="2"/>
  <c r="G27" i="2"/>
  <c r="F27" i="2"/>
  <c r="E27" i="2"/>
  <c r="D27" i="2"/>
  <c r="C27" i="2"/>
  <c r="I26" i="2"/>
  <c r="H26" i="2"/>
  <c r="G26" i="2"/>
  <c r="F26" i="2"/>
  <c r="E26" i="2"/>
  <c r="D26" i="2"/>
  <c r="D31" i="2" s="1"/>
  <c r="C26" i="2"/>
  <c r="I21" i="2"/>
  <c r="E21" i="2"/>
  <c r="D21" i="2"/>
  <c r="C21" i="2"/>
  <c r="I20" i="2"/>
  <c r="E20" i="2"/>
  <c r="D20" i="2"/>
  <c r="C20" i="2"/>
  <c r="I19" i="2"/>
  <c r="E19" i="2"/>
  <c r="D19" i="2"/>
  <c r="C19" i="2"/>
  <c r="I18" i="2"/>
  <c r="E18" i="2"/>
  <c r="D18" i="2"/>
  <c r="C18" i="2"/>
  <c r="I17" i="2"/>
  <c r="E17" i="2"/>
  <c r="D17" i="2"/>
  <c r="D22" i="2" s="1"/>
  <c r="C17" i="2"/>
  <c r="I12" i="2"/>
  <c r="H12" i="2"/>
  <c r="G12" i="2"/>
  <c r="F12" i="2"/>
  <c r="E12" i="2"/>
  <c r="D12" i="2"/>
  <c r="C12" i="2"/>
  <c r="I11" i="2"/>
  <c r="H11" i="2"/>
  <c r="G11" i="2"/>
  <c r="F11" i="2"/>
  <c r="E11" i="2"/>
  <c r="D11" i="2"/>
  <c r="C11" i="2"/>
  <c r="I10" i="2"/>
  <c r="H10" i="2"/>
  <c r="G10" i="2"/>
  <c r="F10" i="2"/>
  <c r="E10" i="2"/>
  <c r="D10" i="2"/>
  <c r="C10" i="2"/>
  <c r="I9" i="2"/>
  <c r="H9" i="2"/>
  <c r="G9" i="2"/>
  <c r="F9" i="2"/>
  <c r="E9" i="2"/>
  <c r="D9" i="2"/>
  <c r="C9" i="2"/>
  <c r="I8" i="2"/>
  <c r="H8" i="2"/>
  <c r="G8" i="2"/>
  <c r="F8" i="2"/>
  <c r="E8" i="2"/>
  <c r="D8" i="2"/>
  <c r="C8" i="2"/>
  <c r="E79" i="7"/>
  <c r="E78" i="7"/>
  <c r="E77" i="7"/>
  <c r="E76" i="7"/>
  <c r="E75" i="7"/>
  <c r="E74" i="7"/>
  <c r="E73" i="7"/>
  <c r="E72" i="7"/>
  <c r="E71" i="7"/>
  <c r="E70" i="7"/>
  <c r="E69" i="7"/>
  <c r="E68" i="7"/>
  <c r="C68" i="7"/>
  <c r="C59" i="7"/>
  <c r="C58" i="7"/>
  <c r="C47" i="7"/>
  <c r="C44" i="7"/>
  <c r="C43" i="7"/>
  <c r="C41" i="7"/>
  <c r="C36" i="7"/>
  <c r="C35" i="7"/>
  <c r="C34" i="7"/>
  <c r="C33" i="7"/>
  <c r="C32" i="7"/>
  <c r="C25" i="7"/>
  <c r="C42" i="7" s="1"/>
  <c r="C19" i="7"/>
  <c r="C18" i="7"/>
  <c r="C20" i="7" s="1"/>
  <c r="D11" i="7"/>
  <c r="D10" i="7"/>
  <c r="D9" i="7"/>
  <c r="D71" i="6" l="1"/>
  <c r="C67" i="6"/>
  <c r="C65" i="6"/>
  <c r="C64" i="6"/>
  <c r="C63" i="6"/>
  <c r="C52" i="6"/>
  <c r="C53" i="6"/>
  <c r="C21" i="6"/>
  <c r="G20" i="2" s="1"/>
  <c r="C22" i="6"/>
  <c r="H20" i="2" s="1"/>
  <c r="F20" i="2"/>
  <c r="D71" i="5"/>
  <c r="C65" i="5"/>
  <c r="C64" i="5"/>
  <c r="C63" i="5"/>
  <c r="C67" i="5"/>
  <c r="C53" i="5"/>
  <c r="C52" i="5"/>
  <c r="C22" i="5"/>
  <c r="H19" i="2" s="1"/>
  <c r="F19" i="2"/>
  <c r="C21" i="5"/>
  <c r="G19" i="2" s="1"/>
  <c r="D71" i="4"/>
  <c r="C65" i="4"/>
  <c r="C67" i="4"/>
  <c r="C64" i="4"/>
  <c r="C63" i="4"/>
  <c r="C52" i="4"/>
  <c r="C53" i="4"/>
  <c r="C21" i="4"/>
  <c r="G18" i="2" s="1"/>
  <c r="C22" i="4"/>
  <c r="H18" i="2" s="1"/>
  <c r="F18" i="2"/>
  <c r="D71" i="3"/>
  <c r="C65" i="3"/>
  <c r="C64" i="3"/>
  <c r="C67" i="3"/>
  <c r="C63" i="3"/>
  <c r="C53" i="3"/>
  <c r="C52" i="3"/>
  <c r="C18" i="3"/>
  <c r="C20" i="3" s="1"/>
  <c r="C14" i="3"/>
  <c r="C25" i="3" s="1"/>
  <c r="C45" i="3" s="1"/>
  <c r="C48" i="2"/>
  <c r="F40" i="2"/>
  <c r="C47" i="2"/>
  <c r="G31" i="2"/>
  <c r="F31" i="2"/>
  <c r="C46" i="2"/>
  <c r="C49" i="2"/>
  <c r="I13" i="2"/>
  <c r="C43" i="2"/>
  <c r="D13" i="2"/>
  <c r="D68" i="7"/>
  <c r="C62" i="7"/>
  <c r="C64" i="7"/>
  <c r="C61" i="7"/>
  <c r="C60" i="7"/>
  <c r="C49" i="7"/>
  <c r="C50" i="7"/>
  <c r="C21" i="7"/>
  <c r="G21" i="2" s="1"/>
  <c r="C22" i="7"/>
  <c r="H21" i="2" s="1"/>
  <c r="F21" i="2"/>
  <c r="F17" i="2" l="1"/>
  <c r="C21" i="3"/>
  <c r="G17" i="2" s="1"/>
  <c r="C22" i="3"/>
  <c r="H17" i="2" s="1"/>
  <c r="G71" i="6"/>
  <c r="F71" i="6"/>
  <c r="C72" i="6" s="1"/>
  <c r="G71" i="5"/>
  <c r="F71" i="5"/>
  <c r="C72" i="5" s="1"/>
  <c r="G71" i="4"/>
  <c r="F71" i="4"/>
  <c r="C72" i="4" s="1"/>
  <c r="G71" i="3"/>
  <c r="F71" i="3"/>
  <c r="C72" i="3" s="1"/>
  <c r="G68" i="7"/>
  <c r="F68" i="7"/>
  <c r="C69" i="7" s="1"/>
  <c r="F22" i="2" l="1"/>
  <c r="C44" i="2"/>
  <c r="G22" i="2"/>
  <c r="C45" i="2"/>
  <c r="D72" i="6"/>
  <c r="D72" i="5"/>
  <c r="D72" i="4"/>
  <c r="G72" i="4" s="1"/>
  <c r="F72" i="4"/>
  <c r="C73" i="4" s="1"/>
  <c r="D72" i="3"/>
  <c r="D69" i="7"/>
  <c r="D73" i="4" l="1"/>
  <c r="G72" i="6"/>
  <c r="F72" i="6"/>
  <c r="C73" i="6" s="1"/>
  <c r="G72" i="5"/>
  <c r="F72" i="5"/>
  <c r="C73" i="5" s="1"/>
  <c r="G72" i="3"/>
  <c r="F72" i="3"/>
  <c r="C73" i="3" s="1"/>
  <c r="G69" i="7"/>
  <c r="F69" i="7"/>
  <c r="C70" i="7" s="1"/>
  <c r="D73" i="6" l="1"/>
  <c r="D73" i="5"/>
  <c r="G73" i="5" s="1"/>
  <c r="F73" i="5"/>
  <c r="C74" i="5" s="1"/>
  <c r="D73" i="3"/>
  <c r="G73" i="3" s="1"/>
  <c r="F73" i="3"/>
  <c r="C74" i="3" s="1"/>
  <c r="D70" i="7"/>
  <c r="G73" i="4"/>
  <c r="F73" i="4"/>
  <c r="C74" i="4" s="1"/>
  <c r="D74" i="5" l="1"/>
  <c r="G74" i="5" s="1"/>
  <c r="F74" i="5"/>
  <c r="C75" i="5" s="1"/>
  <c r="D74" i="3"/>
  <c r="D74" i="4"/>
  <c r="G73" i="6"/>
  <c r="F73" i="6"/>
  <c r="C74" i="6" s="1"/>
  <c r="G70" i="7"/>
  <c r="F70" i="7"/>
  <c r="C71" i="7" s="1"/>
  <c r="D75" i="5" l="1"/>
  <c r="G75" i="5" s="1"/>
  <c r="F75" i="5"/>
  <c r="C76" i="5" s="1"/>
  <c r="D74" i="6"/>
  <c r="D71" i="7"/>
  <c r="G74" i="3"/>
  <c r="F74" i="3"/>
  <c r="C75" i="3" s="1"/>
  <c r="G74" i="4"/>
  <c r="F74" i="4"/>
  <c r="C75" i="4" s="1"/>
  <c r="D76" i="5" l="1"/>
  <c r="G76" i="5" s="1"/>
  <c r="F76" i="5"/>
  <c r="C77" i="5" s="1"/>
  <c r="D75" i="3"/>
  <c r="D75" i="4"/>
  <c r="G74" i="6"/>
  <c r="F74" i="6"/>
  <c r="C75" i="6" s="1"/>
  <c r="G71" i="7"/>
  <c r="F71" i="7"/>
  <c r="C72" i="7" s="1"/>
  <c r="D77" i="5" l="1"/>
  <c r="D75" i="6"/>
  <c r="D72" i="7"/>
  <c r="G75" i="3"/>
  <c r="F75" i="3"/>
  <c r="C76" i="3" s="1"/>
  <c r="G75" i="4"/>
  <c r="F75" i="4"/>
  <c r="C76" i="4" s="1"/>
  <c r="D76" i="3" l="1"/>
  <c r="D76" i="4"/>
  <c r="G77" i="5"/>
  <c r="F77" i="5"/>
  <c r="C78" i="5" s="1"/>
  <c r="G75" i="6"/>
  <c r="F75" i="6"/>
  <c r="C76" i="6" s="1"/>
  <c r="G72" i="7"/>
  <c r="F72" i="7"/>
  <c r="C73" i="7" s="1"/>
  <c r="D78" i="5" l="1"/>
  <c r="D76" i="6"/>
  <c r="D73" i="7"/>
  <c r="G76" i="3"/>
  <c r="F76" i="3"/>
  <c r="C77" i="3" s="1"/>
  <c r="G76" i="4"/>
  <c r="F76" i="4"/>
  <c r="C77" i="4" s="1"/>
  <c r="D77" i="3" l="1"/>
  <c r="G77" i="3" s="1"/>
  <c r="F77" i="3"/>
  <c r="C78" i="3" s="1"/>
  <c r="D77" i="4"/>
  <c r="G77" i="4" s="1"/>
  <c r="F77" i="4"/>
  <c r="C78" i="4" s="1"/>
  <c r="G78" i="5"/>
  <c r="F78" i="5"/>
  <c r="C79" i="5" s="1"/>
  <c r="G76" i="6"/>
  <c r="F76" i="6"/>
  <c r="C77" i="6" s="1"/>
  <c r="G73" i="7"/>
  <c r="F73" i="7"/>
  <c r="C74" i="7" s="1"/>
  <c r="D78" i="3" l="1"/>
  <c r="G78" i="3" s="1"/>
  <c r="F78" i="3"/>
  <c r="C79" i="3" s="1"/>
  <c r="D78" i="4"/>
  <c r="D79" i="5"/>
  <c r="D77" i="6"/>
  <c r="D74" i="7"/>
  <c r="D79" i="3" l="1"/>
  <c r="G78" i="4"/>
  <c r="F78" i="4"/>
  <c r="C79" i="4" s="1"/>
  <c r="G79" i="5"/>
  <c r="F79" i="5"/>
  <c r="C80" i="5" s="1"/>
  <c r="G77" i="6"/>
  <c r="F77" i="6"/>
  <c r="C78" i="6" s="1"/>
  <c r="G74" i="7"/>
  <c r="F74" i="7"/>
  <c r="C75" i="7" s="1"/>
  <c r="D79" i="4" l="1"/>
  <c r="D80" i="5"/>
  <c r="D78" i="6"/>
  <c r="D75" i="7"/>
  <c r="G79" i="3"/>
  <c r="F79" i="3"/>
  <c r="C80" i="3" s="1"/>
  <c r="D80" i="3" l="1"/>
  <c r="G79" i="4"/>
  <c r="F79" i="4"/>
  <c r="C80" i="4" s="1"/>
  <c r="G80" i="5"/>
  <c r="F80" i="5"/>
  <c r="C81" i="5" s="1"/>
  <c r="G78" i="6"/>
  <c r="F78" i="6"/>
  <c r="C79" i="6" s="1"/>
  <c r="G75" i="7"/>
  <c r="F75" i="7"/>
  <c r="C76" i="7" s="1"/>
  <c r="D80" i="4" l="1"/>
  <c r="D81" i="5"/>
  <c r="G81" i="5" s="1"/>
  <c r="F81" i="5"/>
  <c r="C82" i="5" s="1"/>
  <c r="D79" i="6"/>
  <c r="D76" i="7"/>
  <c r="G80" i="3"/>
  <c r="F80" i="3"/>
  <c r="C81" i="3" s="1"/>
  <c r="D82" i="5" l="1"/>
  <c r="D81" i="3"/>
  <c r="G81" i="3" s="1"/>
  <c r="F81" i="3"/>
  <c r="C82" i="3" s="1"/>
  <c r="G80" i="4"/>
  <c r="F80" i="4"/>
  <c r="C81" i="4" s="1"/>
  <c r="G79" i="6"/>
  <c r="F79" i="6"/>
  <c r="C80" i="6" s="1"/>
  <c r="G76" i="7"/>
  <c r="F76" i="7"/>
  <c r="C77" i="7" s="1"/>
  <c r="D82" i="3" l="1"/>
  <c r="G82" i="3" s="1"/>
  <c r="F82" i="3"/>
  <c r="D81" i="4"/>
  <c r="D80" i="6"/>
  <c r="D77" i="7"/>
  <c r="G82" i="5"/>
  <c r="F82" i="5"/>
  <c r="G81" i="4" l="1"/>
  <c r="F81" i="4"/>
  <c r="C82" i="4" s="1"/>
  <c r="G80" i="6"/>
  <c r="F80" i="6"/>
  <c r="C81" i="6" s="1"/>
  <c r="G77" i="7"/>
  <c r="F77" i="7"/>
  <c r="C78" i="7" s="1"/>
  <c r="D82" i="4" l="1"/>
  <c r="G82" i="4" s="1"/>
  <c r="F82" i="4"/>
  <c r="D81" i="6"/>
  <c r="D78" i="7"/>
  <c r="G81" i="6" l="1"/>
  <c r="F81" i="6"/>
  <c r="C82" i="6" s="1"/>
  <c r="G78" i="7"/>
  <c r="F78" i="7"/>
  <c r="C79" i="7" s="1"/>
  <c r="D82" i="6" l="1"/>
  <c r="D79" i="7"/>
  <c r="G82" i="6" l="1"/>
  <c r="F82" i="6"/>
  <c r="G79" i="7"/>
  <c r="F79" i="7"/>
</calcChain>
</file>

<file path=xl/sharedStrings.xml><?xml version="1.0" encoding="utf-8"?>
<sst xmlns="http://schemas.openxmlformats.org/spreadsheetml/2006/main" count="545" uniqueCount="191">
  <si>
    <t>CompoundFlow · Holding 5 — Holding 5</t>
  </si>
  <si>
    <t>CompoundFlow · Educational purposes only — not financial advice.</t>
  </si>
  <si>
    <t>Holding 5 · Enter platform name and adjust inputs</t>
  </si>
  <si>
    <t>▌ INPUTS — Edit the blue cells</t>
  </si>
  <si>
    <t>Platform Name</t>
  </si>
  <si>
    <t>Holding 5</t>
  </si>
  <si>
    <t>Principal ($)</t>
  </si>
  <si>
    <t>Starting investment</t>
  </si>
  <si>
    <t>Daily Rate (decimal: 0.0035 = 0.35%)</t>
  </si>
  <si>
    <t>Monthly Rate (decimal: 0.05 = 5%)</t>
  </si>
  <si>
    <t>Annual Rate (decimal: 0.20 = 20%)</t>
  </si>
  <si>
    <t>Years</t>
  </si>
  <si>
    <t>Months</t>
  </si>
  <si>
    <t>0–11</t>
  </si>
  <si>
    <t>Days</t>
  </si>
  <si>
    <t>0–30</t>
  </si>
  <si>
    <t>Monthly Contributions ($)</t>
  </si>
  <si>
    <t>Enter 0 if none</t>
  </si>
  <si>
    <t>▌ DAILY COMPOUNDING</t>
  </si>
  <si>
    <t>Total Days</t>
  </si>
  <si>
    <t>APY (daily rate)</t>
  </si>
  <si>
    <t>Future Value (Daily)</t>
  </si>
  <si>
    <t>Interest Earned (Daily)</t>
  </si>
  <si>
    <t>Total Growth % (Daily)</t>
  </si>
  <si>
    <t>▌ MONTHLY COMPOUNDING</t>
  </si>
  <si>
    <t>Total Months</t>
  </si>
  <si>
    <t>▌ INTEREST SNAPSHOT — See your earnings at any specific point in time</t>
  </si>
  <si>
    <t>Enter a day number below (e.g. 30, 60, 90, 180, 365) to see your balance and interest earnings at that exact point.</t>
  </si>
  <si>
    <t>Snapshot Day</t>
  </si>
  <si>
    <t>Try: 30 · 60 · 90 · 180 · 365</t>
  </si>
  <si>
    <t>SNAPSHOT RESULTS</t>
  </si>
  <si>
    <t>Balance at Snapshot Day</t>
  </si>
  <si>
    <t>Daily Interest at That Point</t>
  </si>
  <si>
    <t>Interest earned on a single day at this balance</t>
  </si>
  <si>
    <t>Weekly Interest at That Point</t>
  </si>
  <si>
    <t>7-day interest at this balance</t>
  </si>
  <si>
    <t>Monthly Interest at That Point</t>
  </si>
  <si>
    <t>30-day interest at this balance</t>
  </si>
  <si>
    <t>Annual Income at That Point</t>
  </si>
  <si>
    <t>Full-year income if balance stayed at this level</t>
  </si>
  <si>
    <t>APY at Entry Rate</t>
  </si>
  <si>
    <t>Your annual percentage yield — same throughout</t>
  </si>
  <si>
    <t>💡 STRATEGY TIP: Consider targeting Day 60–90 as your first milestone — compare your monthly interest at that point to your original deposit. If they're close, you're on track to recover your principal in interest alone. Define your withdrawal plan before you invest.</t>
  </si>
  <si>
    <t>APY (monthly rate)</t>
  </si>
  <si>
    <t>Future Value (Monthly)</t>
  </si>
  <si>
    <t>Interest Earned (Monthly)</t>
  </si>
  <si>
    <t>Total Growth % (Monthly)</t>
  </si>
  <si>
    <t>▌ ANNUAL RATE REFERENCE</t>
  </si>
  <si>
    <t>APY (annual rate)</t>
  </si>
  <si>
    <t>Future Value (Annual)</t>
  </si>
  <si>
    <t>Interest Earned (Annual)</t>
  </si>
  <si>
    <t>Total Growth % (Annual)</t>
  </si>
  <si>
    <t>▌ WITHDRAWAL SETTINGS (Optional — leave blank to skip)</t>
  </si>
  <si>
    <t>Withdrawal Start Date</t>
  </si>
  <si>
    <t>Date to begin withdrawals — leave blank if not withdrawing</t>
  </si>
  <si>
    <t>Withdrawal Amount ($/period)</t>
  </si>
  <si>
    <t>Fixed $ per period — enter 0 if living off interest only</t>
  </si>
  <si>
    <t>Withdrawal Frequency</t>
  </si>
  <si>
    <t>Weekly</t>
  </si>
  <si>
    <t>Type: Daily / Weekly / Monthly / Annually</t>
  </si>
  <si>
    <t>▌ WITHDRAWAL RESULTS</t>
  </si>
  <si>
    <t>Days Until Withdrawal</t>
  </si>
  <si>
    <t>Balance on Withdrawal Date</t>
  </si>
  <si>
    <t>Interest-Only Payment (Daily)</t>
  </si>
  <si>
    <t>Interest-Only Payment (Mo.)</t>
  </si>
  <si>
    <t>Interest-Only Payment (Annual)</t>
  </si>
  <si>
    <t>Selected Period Payment</t>
  </si>
  <si>
    <t>Est. Balance After Withdrawals</t>
  </si>
  <si>
    <t>▌ 12-MONTH GROWTH TABLE (Daily Compounding)</t>
  </si>
  <si>
    <t>Month</t>
  </si>
  <si>
    <t>Start Balance</t>
  </si>
  <si>
    <t>Daily Interest</t>
  </si>
  <si>
    <t>Contribution</t>
  </si>
  <si>
    <t>End Balance</t>
  </si>
  <si>
    <t>Cumul. Interest</t>
  </si>
  <si>
    <t>⚠ IMPORTANT — PLEASE READ CAREFULLY The information and calculations contained in this spreadsheet are believed to be reliable but NO representations or warranties of any kind are made as to the accuracy, completeness, timeliness, or fitness for any particular purpose of these calculations, formulas, projections, or any associated website, application, or tool. Results may contain errors. All projections are hypothetical mathematical models only and actual results will vary — potentially materially. Past performance of any platform, investment, or trading bot does not guarantee future results. Participation in AI trading platforms or cryptocurrency investments involves substantial risk including the complete loss of principal. These tools are not FDIC insured, not bank guaranteed, and not regulated financial products. Nothing herein constitutes financial, legal, tax, or investment advice. Only invest funds you are fully prepared to lose entirely. CONFIDENTIALITY NOTICE: This spreadsheet is intended solely for the personal use of the recipient. It may NOT be copied, forwarded, shared, distributed, published, posted, or transmitted to any third party in any form — electronically or otherwise — without express written permission. Unauthorized use, sharing, or distribution is strictly prohibited. Consult a licensed financial professional before making any investment decisions.</t>
  </si>
  <si>
    <t>CompoundFlow · Portfolio Tracker — How to Use</t>
  </si>
  <si>
    <t>▌ WHAT THIS SPREADSHEET DOES</t>
  </si>
  <si>
    <t>The Portfolio Tracker lets you track up to 5 different crypto / AI trading investments side by side. Each holding has its own tab where you enter the details. The Portfolio Summary tab collects everything automatically and shows your total capital invested, total projected returns, and a comparison across all holdings. You never need to type anything on the Portfolio Summary tab — it updates itself.</t>
  </si>
  <si>
    <t>▌ COLOR KEY</t>
  </si>
  <si>
    <t>██</t>
  </si>
  <si>
    <t>BLUE cell = INPUT — the only cells you type in</t>
  </si>
  <si>
    <t>White/muted = FORMULA — calculated automatically, do not edit</t>
  </si>
  <si>
    <t>Green = Interest earned / positive growth</t>
  </si>
  <si>
    <t>Light blue = Future value or balance</t>
  </si>
  <si>
    <t>Amber = Growth percentage</t>
  </si>
  <si>
    <t>Cyan/teal italic = Cross-sheet link — pulls from another tab automatically</t>
  </si>
  <si>
    <t>▌ STEP 1 — SET UP YOUR HOLDINGS (Holding 1 through Holding 5 tabs)</t>
  </si>
  <si>
    <t>1</t>
  </si>
  <si>
    <t>Go to a Holding tab</t>
  </si>
  <si>
    <t>Click the 'Holding 1' tab at the bottom of the screen. This is where you enter details for your first investment platform.</t>
  </si>
  <si>
    <t>2</t>
  </si>
  <si>
    <t>Enter Platform Name</t>
  </si>
  <si>
    <t>Click the blue cell next to 'Platform Name' and type the name of your platform. Example: Arbcore, Quantro, Aurum. This name will appear automatically in the Portfolio Summary.</t>
  </si>
  <si>
    <t>3</t>
  </si>
  <si>
    <t>Enter Principal</t>
  </si>
  <si>
    <t>Type your starting investment amount — the dollar amount you deposited or plan to deposit.</t>
  </si>
  <si>
    <t>4</t>
  </si>
  <si>
    <t>Enter Daily Rate</t>
  </si>
  <si>
    <t>Type your platform's daily rate AS A DECIMAL. 0.35% = 0.0035 · 0.75% = 0.0075 · 1.0% = 0.010 · 1.5% = 0.015. This is the most important input — getting this wrong makes all the numbers wrong.</t>
  </si>
  <si>
    <t>5</t>
  </si>
  <si>
    <t>Enter Monthly Rate (optional)</t>
  </si>
  <si>
    <t>If your platform states a monthly return instead of daily, enter that rate as a decimal too. 5% monthly = 0.05 · 10% monthly = 0.10 · 17% monthly = 0.17. This gives you a second set of projections using the monthly rate.</t>
  </si>
  <si>
    <t>6</t>
  </si>
  <si>
    <t>Enter Time Period</t>
  </si>
  <si>
    <t>Type 1 in Years for a 1-year projection, or mix years/months/days as needed. Most people start with 1 year.</t>
  </si>
  <si>
    <t>7</t>
  </si>
  <si>
    <t>Monthly Contributions</t>
  </si>
  <si>
    <t>If you plan to add money to this holding regularly, enter that amount. Otherwise enter 0.</t>
  </si>
  <si>
    <t>8</t>
  </si>
  <si>
    <t>Withdrawal Settings (optional)</t>
  </si>
  <si>
    <t>Scroll down to the Withdrawal Settings section. Enter a Withdrawal Start Date and amount if you plan to take money out. Leave blank if you're just modeling growth for now.</t>
  </si>
  <si>
    <t>9</t>
  </si>
  <si>
    <t>Repeat for other holdings</t>
  </si>
  <si>
    <t>Click Holding 2, Holding 3, etc. and repeat the process for each platform you're tracking. You don't need to fill in all 5 — unused holdings just show zeros in the summary.</t>
  </si>
  <si>
    <t>💡 The three pre-loaded holdings (Arbcore, Quantro Network, Aurum) are just examples with sample numbers. Replace them with your own platforms and real amounts.</t>
  </si>
  <si>
    <t>▌ STEP 2 — READ THE PORTFOLIO SUMMARY TAB</t>
  </si>
  <si>
    <t>Go to Portfolio Summary</t>
  </si>
  <si>
    <t>Click the 'Portfolio Summary' tab. Everything here is automatic — you should NOT type anything here.</t>
  </si>
  <si>
    <t>Holdings Overview section</t>
  </si>
  <si>
    <t>The top table shows all 5 holdings side by side — platform names, principals, daily rates, and contributions. This pulls directly from your holding tabs. If it looks wrong, go back to the holding tab and fix it there.</t>
  </si>
  <si>
    <t>Results — Daily Compounding</t>
  </si>
  <si>
    <t>This section shows projected future value and interest earned for each holding based on the daily rate you entered. The TOTALS row at the bottom sums everything across all holdings.</t>
  </si>
  <si>
    <t>Results — Monthly Compounding</t>
  </si>
  <si>
    <t>Same view but using the monthly rate you entered on each holding tab. Useful if your platform quotes monthly returns rather than daily.</t>
  </si>
  <si>
    <t>Results — Annual Rate Reference</t>
  </si>
  <si>
    <t>A comparison view using a flat annual rate. Useful for comparing these platforms against traditional investments.</t>
  </si>
  <si>
    <t>Grand Totals box</t>
  </si>
  <si>
    <t>At the bottom: total capital across all holdings, total projected future value (daily compounding), total interest earned, and total monthly contributions. This is your portfolio-wide snapshot.</t>
  </si>
  <si>
    <t>💡 If the Portfolio Summary shows zeros or errors after you've filled in holding tabs, check that you entered the daily rate as a decimal (0.0035 not 0.35). A wrong rate format is the most common cause of formula errors.</t>
  </si>
  <si>
    <t>▌ COMMON MISTAKES</t>
  </si>
  <si>
    <t>✗</t>
  </si>
  <si>
    <t>Typing in the Portfolio Summary tab</t>
  </si>
  <si>
    <t>Everything on the Summary tab is a formula linked to your holding tabs. If you type there you'll break the links. Press Ctrl+Z / Cmd+Z immediately to undo if you accidentally type there.</t>
  </si>
  <si>
    <t>Wrong rate format</t>
  </si>
  <si>
    <t>0.35% daily = type 0.0035. If you type 0.35, the spreadsheet thinks your rate is 35% per day — the numbers will be astronomical and wrong.</t>
  </si>
  <si>
    <t>Confusing daily and monthly rate fields</t>
  </si>
  <si>
    <t>Each holding has TWO rate fields — one for daily, one for monthly. Make sure you enter each platform's rate in the right field.</t>
  </si>
  <si>
    <t>Leaving unused holdings blank</t>
  </si>
  <si>
    <t>If Holding 4 and 5 are blank, they'll show zeros — that's fine and won't affect the other holdings.</t>
  </si>
  <si>
    <t>▌ OPENING THIS FILE — Excel, Google Sheets, Apple Numbers</t>
  </si>
  <si>
    <t>▶</t>
  </si>
  <si>
    <t>Excel (Windows/Mac)</t>
  </si>
  <si>
    <t>Double-click the .xlsx file. Opens directly. All formulas and links between tabs work automatically.</t>
  </si>
  <si>
    <t>Google Sheets</t>
  </si>
  <si>
    <t>Go to drive.google.com → + New → File Upload → select the .xlsx file. Right-click it → Open with → Google Sheets. All tab links work. Save permanently: File → Save as Google Sheets.</t>
  </si>
  <si>
    <t>Apple Numbers (iPhone/iPad)</t>
  </si>
  <si>
    <t>Tap the file → Open in Numbers. On Mac, double-click → opens in Numbers. Export to Numbers format: File → Export To → Numbers. All holding tab links are preserved.</t>
  </si>
  <si>
    <t>Mobile tip</t>
  </si>
  <si>
    <t>Use landscape mode on your phone. Tap a blue cell to edit it. Use the tab/arrow keys to move between cells. The Portfolio Summary is read-only on mobile — just view it, don't tap to edit.</t>
  </si>
  <si>
    <t>CompoundFlow · Portfolio Summary — All Holdings</t>
  </si>
  <si>
    <t>All data linked from holding tabs. Edit holdings to update. Views: Daily · Monthly · Annual.</t>
  </si>
  <si>
    <t>▌ HOLDINGS OVERVIEW</t>
  </si>
  <si>
    <t>#</t>
  </si>
  <si>
    <t>Platform</t>
  </si>
  <si>
    <t>Principal</t>
  </si>
  <si>
    <t>Daily Rate</t>
  </si>
  <si>
    <t>Monthly Rate</t>
  </si>
  <si>
    <t>Annual Rate</t>
  </si>
  <si>
    <t>Yrs</t>
  </si>
  <si>
    <t>Contrib./Mo</t>
  </si>
  <si>
    <t>TOTALS</t>
  </si>
  <si>
    <t>▌ RESULTS — DAILY COMPOUNDING</t>
  </si>
  <si>
    <t>APY</t>
  </si>
  <si>
    <t>Future Value</t>
  </si>
  <si>
    <t>Interest Earned</t>
  </si>
  <si>
    <t>Growth %</t>
  </si>
  <si>
    <t>Contrib.</t>
  </si>
  <si>
    <t>▌ RESULTS — MONTHLY COMPOUNDING</t>
  </si>
  <si>
    <t>▌ RESULTS — ANNUAL RATE REFERENCE</t>
  </si>
  <si>
    <t>▌ GRAND TOTALS</t>
  </si>
  <si>
    <t>Total Capital Invested</t>
  </si>
  <si>
    <t>Total Future Value — Daily</t>
  </si>
  <si>
    <t>Total Interest Earned — Daily</t>
  </si>
  <si>
    <t>Total Future Value — Monthly</t>
  </si>
  <si>
    <t>Total Interest — Monthly</t>
  </si>
  <si>
    <t>Total Future Value — Annual</t>
  </si>
  <si>
    <t>Total Monthly Contributions</t>
  </si>
  <si>
    <t>CompoundFlow · Holding 1 — Arbcore</t>
  </si>
  <si>
    <t>Arbcore · AI arbitrage bot — 0.35% daily compound</t>
  </si>
  <si>
    <t>Crypto 1</t>
  </si>
  <si>
    <t>Monthly</t>
  </si>
  <si>
    <t>CompoundFlow · Holding 2 — Quantro Network</t>
  </si>
  <si>
    <t>Quantro Network · AI trading bot — 0.75% daily / 17% monthly / $100/mo contribution</t>
  </si>
  <si>
    <t>Crypto 2</t>
  </si>
  <si>
    <t>CompoundFlow · Holding 3 — Aurum</t>
  </si>
  <si>
    <t>Aurum · Aurum Neobank — 0.20% daily / 8% monthly</t>
  </si>
  <si>
    <t>Crypto3</t>
  </si>
  <si>
    <t>CompoundFlow · Holding 4 — Holding 4</t>
  </si>
  <si>
    <t>Holding 4 · Enter platform name and adjust inputs</t>
  </si>
  <si>
    <t>Holding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</si>
</sst>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000%"/>
    <numFmt numFmtId="166" formatCode="mm/dd/yyyy"/>
    <numFmt numFmtId="167" formatCode="0\ &quot;days&quot;"/>
    <numFmt numFmtId="168" formatCode="0.0000"/>
    <numFmt numFmtId="169" formatCode="0.000"/>
  </numFmts>
  <fonts count="53" x14ac:knownFonts="1">
    <font>
      <sz val="11"/>
      <color theme="1"/>
      <name val="Calibri"/>
      <family val="2"/>
      <scheme val="minor"/>
    </font>
    <font>
      <b/>
      <sz val="15"/>
      <color rgb="FFF8FAFC"/>
      <name val="Calibri"/>
      <family val="2"/>
    </font>
    <font>
      <i/>
      <sz val="10"/>
      <color rgb="FF94A3B8"/>
      <name val="Calibri"/>
      <family val="2"/>
    </font>
    <font>
      <b/>
      <sz val="12"/>
      <color rgb="FF93C5FD"/>
      <name val="Calibri"/>
      <family val="2"/>
    </font>
    <font>
      <b/>
      <sz val="11"/>
      <color rgb="FF60A5FA"/>
      <name val="Calibri"/>
      <family val="2"/>
    </font>
    <font>
      <sz val="12"/>
      <color rgb="FF94A3B8"/>
      <name val="Calibri"/>
      <family val="2"/>
    </font>
    <font>
      <b/>
      <sz val="13"/>
      <color rgb="FF93C5FD"/>
      <name val="Calibri"/>
      <family val="2"/>
    </font>
    <font>
      <i/>
      <sz val="10"/>
      <color rgb="FF64748B"/>
      <name val="Calibri"/>
      <family val="2"/>
    </font>
    <font>
      <b/>
      <sz val="11"/>
      <color rgb="FF93C5FD"/>
      <name val="Calibri"/>
      <family val="2"/>
    </font>
    <font>
      <sz val="12"/>
      <color rgb="FFF8FAFC"/>
      <name val="Calibri"/>
      <family val="2"/>
    </font>
    <font>
      <b/>
      <sz val="12"/>
      <color rgb="FF94A3B8"/>
      <name val="Calibri"/>
      <family val="2"/>
    </font>
    <font>
      <b/>
      <sz val="12"/>
      <color rgb="FF10B981"/>
      <name val="Calibri"/>
      <family val="2"/>
    </font>
    <font>
      <b/>
      <sz val="12"/>
      <color rgb="FF60A5FA"/>
      <name val="Calibri"/>
      <family val="2"/>
    </font>
    <font>
      <b/>
      <sz val="12"/>
      <color rgb="FFF59E0B"/>
      <name val="Calibri"/>
      <family val="2"/>
    </font>
    <font>
      <b/>
      <sz val="11"/>
      <color rgb="FFFCA5A5"/>
      <name val="Calibri"/>
      <family val="2"/>
    </font>
    <font>
      <sz val="12"/>
      <color rgb="FF10B981"/>
      <name val="Calibri"/>
      <family val="2"/>
    </font>
    <font>
      <b/>
      <sz val="11"/>
      <color rgb="FFF8FAFC"/>
      <name val="Calibri"/>
      <family val="2"/>
    </font>
    <font>
      <sz val="11"/>
      <color rgb="FF94A3B8"/>
      <name val="Calibri"/>
      <family val="2"/>
    </font>
    <font>
      <sz val="11"/>
      <color rgb="FFF8FAFC"/>
      <name val="Calibri"/>
      <family val="2"/>
    </font>
    <font>
      <sz val="11"/>
      <color rgb="FF10B981"/>
      <name val="Calibri"/>
      <family val="2"/>
    </font>
    <font>
      <sz val="11"/>
      <color rgb="FF60A5FA"/>
      <name val="Calibri"/>
      <family val="2"/>
    </font>
    <font>
      <i/>
      <sz val="9"/>
      <color rgb="FFFDE68A"/>
      <name val="Calibri"/>
      <family val="2"/>
    </font>
    <font>
      <b/>
      <sz val="12"/>
      <color rgb="FF6EE7B7"/>
      <name val="Calibri"/>
      <family val="2"/>
    </font>
    <font>
      <b/>
      <sz val="11"/>
      <color rgb="FF6EE7B7"/>
      <name val="Calibri"/>
      <family val="2"/>
    </font>
    <font>
      <b/>
      <sz val="12"/>
      <color rgb="FFFDE68A"/>
      <name val="Calibri"/>
      <family val="2"/>
    </font>
    <font>
      <b/>
      <sz val="11"/>
      <color rgb="FFFDE68A"/>
      <name val="Calibri"/>
      <family val="2"/>
    </font>
    <font>
      <b/>
      <sz val="12"/>
      <color rgb="FFC4B5FD"/>
      <name val="Calibri"/>
      <family val="2"/>
    </font>
    <font>
      <b/>
      <sz val="11"/>
      <color rgb="FFC4B5FD"/>
      <name val="Calibri"/>
      <family val="2"/>
    </font>
    <font>
      <b/>
      <sz val="12"/>
      <color rgb="FF67E8F9"/>
      <name val="Calibri"/>
      <family val="2"/>
    </font>
    <font>
      <b/>
      <sz val="11"/>
      <color rgb="FF67E8F9"/>
      <name val="Calibri"/>
      <family val="2"/>
    </font>
    <font>
      <i/>
      <sz val="11"/>
      <color rgb="FF94A3B8"/>
      <name val="Calibri"/>
      <family val="2"/>
    </font>
    <font>
      <sz val="11"/>
      <color rgb="FFF59E0B"/>
      <name val="Calibri"/>
      <family val="2"/>
    </font>
    <font>
      <i/>
      <sz val="10"/>
      <color rgb="FFFDE68A"/>
      <name val="Calibri"/>
      <family val="2"/>
    </font>
    <font>
      <i/>
      <sz val="10"/>
      <color rgb="FF64748B"/>
      <name val="Calibri"/>
      <family val="2"/>
    </font>
    <font>
      <b/>
      <sz val="15"/>
      <color rgb="FFF8FAFC"/>
      <name val="Calibri"/>
      <family val="2"/>
    </font>
    <font>
      <b/>
      <sz val="12"/>
      <color rgb="FF60A5FA"/>
      <name val="Calibri"/>
      <family val="2"/>
    </font>
    <font>
      <i/>
      <sz val="11"/>
      <color rgb="FF94A3B8"/>
      <name val="Calibri"/>
      <family val="2"/>
    </font>
    <font>
      <b/>
      <sz val="14"/>
      <color rgb="FF93C5FD"/>
      <name val="Calibri"/>
      <family val="2"/>
    </font>
    <font>
      <sz val="11"/>
      <color rgb="FFF8FAFC"/>
      <name val="Calibri"/>
      <family val="2"/>
    </font>
    <font>
      <b/>
      <sz val="14"/>
      <color rgb="FFF8FAFC"/>
      <name val="Calibri"/>
      <family val="2"/>
    </font>
    <font>
      <b/>
      <sz val="14"/>
      <color rgb="FF10B981"/>
      <name val="Calibri"/>
      <family val="2"/>
    </font>
    <font>
      <b/>
      <sz val="14"/>
      <color rgb="FF60A5FA"/>
      <name val="Calibri"/>
      <family val="2"/>
    </font>
    <font>
      <b/>
      <sz val="14"/>
      <color rgb="FFF59E0B"/>
      <name val="Calibri"/>
      <family val="2"/>
    </font>
    <font>
      <b/>
      <sz val="14"/>
      <color rgb="FF67E8F9"/>
      <name val="Calibri"/>
      <family val="2"/>
    </font>
    <font>
      <b/>
      <sz val="13"/>
      <color rgb="FFF8FAFC"/>
      <name val="Calibri"/>
      <family val="2"/>
    </font>
    <font>
      <i/>
      <sz val="10"/>
      <color rgb="FFFDE68A"/>
      <name val="Calibri"/>
      <family val="2"/>
    </font>
    <font>
      <b/>
      <sz val="14"/>
      <color rgb="FFFCA5A5"/>
      <name val="Calibri"/>
      <family val="2"/>
    </font>
    <font>
      <b/>
      <sz val="12"/>
      <color rgb="FFFCA5A5"/>
      <name val="Calibri"/>
      <family val="2"/>
    </font>
    <font>
      <b/>
      <sz val="13"/>
      <color rgb="FF60A5FA"/>
      <name val="Calibri"/>
      <family val="2"/>
    </font>
    <font>
      <i/>
      <sz val="9"/>
      <color rgb="FFFDE68A"/>
      <name val="Calibri"/>
      <family val="2"/>
    </font>
    <font>
      <sz val="11"/>
      <color rgb="FF10B981"/>
      <name val="Calibri"/>
      <family val="2"/>
    </font>
    <font>
      <b/>
      <sz val="11"/>
      <color rgb="FF60A5FA"/>
      <name val="Calibri"/>
      <family val="2"/>
    </font>
    <font>
      <i/>
      <u/>
      <sz val="10"/>
      <color rgb="FF60A5FA"/>
      <name val="Calibri"/>
      <family val="2"/>
    </font>
  </fonts>
  <fills count="28">
    <fill>
      <patternFill patternType="none"/>
    </fill>
    <fill>
      <patternFill patternType="gray125"/>
    </fill>
    <fill>
      <patternFill patternType="solid">
        <fgColor rgb="FF0A0E1A"/>
      </patternFill>
    </fill>
    <fill>
      <patternFill patternType="solid">
        <fgColor rgb="FF111827"/>
      </patternFill>
    </fill>
    <fill>
      <patternFill patternType="solid">
        <fgColor rgb="FF1D4ED8"/>
      </patternFill>
    </fill>
    <fill>
      <patternFill patternType="solid">
        <fgColor rgb="FF0F172A"/>
      </patternFill>
    </fill>
    <fill>
      <patternFill patternType="solid">
        <fgColor rgb="FF1E3A5F"/>
      </patternFill>
    </fill>
    <fill>
      <patternFill patternType="solid">
        <fgColor rgb="FF1E293B"/>
      </patternFill>
    </fill>
    <fill>
      <patternFill patternType="solid">
        <fgColor rgb="FF1A0A0A"/>
      </patternFill>
    </fill>
    <fill>
      <patternFill patternType="solid">
        <fgColor rgb="FF1C1A0A"/>
      </patternFill>
    </fill>
    <fill>
      <patternFill patternType="solid">
        <fgColor rgb="FF065F46"/>
      </patternFill>
    </fill>
    <fill>
      <patternFill patternType="solid">
        <fgColor rgb="FF92400E"/>
      </patternFill>
    </fill>
    <fill>
      <patternFill patternType="solid">
        <fgColor rgb="FF4C1D95"/>
      </patternFill>
    </fill>
    <fill>
      <patternFill patternType="solid">
        <fgColor rgb="FF0E7490"/>
      </patternFill>
    </fill>
    <fill>
      <patternFill patternType="solid">
        <fgColor rgb="FF0F2356"/>
      </patternFill>
    </fill>
    <fill>
      <patternFill patternType="solid">
        <fgColor rgb="FF031F17"/>
      </patternFill>
    </fill>
    <fill>
      <patternFill patternType="solid">
        <fgColor rgb="FF301408"/>
      </patternFill>
    </fill>
    <fill>
      <patternFill patternType="solid">
        <fgColor rgb="FF1A0A35"/>
      </patternFill>
    </fill>
    <fill>
      <patternFill patternType="solid">
        <fgColor rgb="FF03242E"/>
      </patternFill>
    </fill>
    <fill>
      <patternFill patternType="solid">
        <fgColor theme="0" tint="-0.34998626667073579"/>
        <bgColor indexed="64"/>
      </patternFill>
    </fill>
    <fill>
      <patternFill patternType="solid">
        <fgColor rgb="FF111827"/>
      </patternFill>
    </fill>
    <fill>
      <patternFill patternType="solid">
        <fgColor rgb="FF0A0E1A"/>
      </patternFill>
    </fill>
    <fill>
      <patternFill patternType="solid">
        <fgColor rgb="FF0F172A"/>
      </patternFill>
    </fill>
    <fill>
      <patternFill patternType="solid">
        <fgColor rgb="FF1D4ED8"/>
      </patternFill>
    </fill>
    <fill>
      <patternFill patternType="solid">
        <fgColor rgb="FF1E293B"/>
      </patternFill>
    </fill>
    <fill>
      <patternFill patternType="solid">
        <fgColor rgb="FF1C1A0A"/>
      </patternFill>
    </fill>
    <fill>
      <patternFill patternType="solid">
        <fgColor rgb="FF1E293B"/>
      </patternFill>
    </fill>
    <fill>
      <patternFill patternType="solid">
        <fgColor rgb="FF111827"/>
      </patternFill>
    </fill>
  </fills>
  <borders count="11">
    <border>
      <left/>
      <right/>
      <top/>
      <bottom/>
      <diagonal/>
    </border>
    <border>
      <left/>
      <right/>
      <top/>
      <bottom style="thin">
        <color rgb="FF1E293B"/>
      </bottom>
      <diagonal/>
    </border>
    <border>
      <left style="thin">
        <color rgb="FF1E293B"/>
      </left>
      <right style="thin">
        <color rgb="FF1E293B"/>
      </right>
      <top style="thin">
        <color rgb="FF1E293B"/>
      </top>
      <bottom style="thin">
        <color rgb="FF1E293B"/>
      </bottom>
      <diagonal/>
    </border>
    <border>
      <left/>
      <right/>
      <top/>
      <bottom style="thin">
        <color rgb="FF1E293B"/>
      </bottom>
      <diagonal/>
    </border>
    <border>
      <left style="thin">
        <color rgb="FF1E293B"/>
      </left>
      <right style="thin">
        <color rgb="FF1E293B"/>
      </right>
      <top style="thin">
        <color rgb="FF1E293B"/>
      </top>
      <bottom style="thin">
        <color rgb="FF1E293B"/>
      </bottom>
      <diagonal/>
    </border>
    <border>
      <left style="medium">
        <color rgb="FFF59E0B"/>
      </left>
      <right style="thin">
        <color rgb="FF78350F"/>
      </right>
      <top style="thin">
        <color rgb="FF78350F"/>
      </top>
      <bottom style="thin">
        <color rgb="FF78350F"/>
      </bottom>
      <diagonal/>
    </border>
    <border>
      <left/>
      <right/>
      <top style="thin">
        <color rgb="FF1E293B"/>
      </top>
      <bottom style="thin">
        <color rgb="FF1E293B"/>
      </bottom>
      <diagonal/>
    </border>
    <border>
      <left/>
      <right style="thin">
        <color rgb="FF1E293B"/>
      </right>
      <top style="thin">
        <color rgb="FF1E293B"/>
      </top>
      <bottom style="thin">
        <color rgb="FF1E293B"/>
      </bottom>
      <diagonal/>
    </border>
    <border>
      <left/>
      <right/>
      <top style="thin">
        <color rgb="FF78350F"/>
      </top>
      <bottom style="thin">
        <color rgb="FF78350F"/>
      </bottom>
      <diagonal/>
    </border>
    <border>
      <left/>
      <right style="thin">
        <color rgb="FF78350F"/>
      </right>
      <top style="thin">
        <color rgb="FF78350F"/>
      </top>
      <bottom style="thin">
        <color rgb="FF78350F"/>
      </bottom>
      <diagonal/>
    </border>
    <border>
      <left style="thin">
        <color rgb="FF1E293B"/>
      </left>
      <right style="thin">
        <color rgb="FF1E293B"/>
      </right>
      <top style="thin">
        <color rgb="FF1E293B"/>
      </top>
      <bottom style="thin">
        <color rgb="FF1E293B"/>
      </bottom>
      <diagonal/>
    </border>
  </borders>
  <cellStyleXfs count="1">
    <xf numFmtId="0" fontId="0" fillId="0" borderId="0"/>
  </cellStyleXfs>
  <cellXfs count="146">
    <xf numFmtId="0" fontId="0" fillId="0" borderId="0" xfId="0"/>
    <xf numFmtId="0" fontId="4" fillId="5" borderId="0" xfId="0" applyFont="1" applyFill="1" applyAlignment="1">
      <alignment horizontal="left" vertical="center" wrapText="1"/>
    </xf>
    <xf numFmtId="0" fontId="16" fillId="4" borderId="2" xfId="0" applyFont="1" applyFill="1" applyBorder="1" applyAlignment="1">
      <alignment horizontal="center" vertical="center" wrapText="1"/>
    </xf>
    <xf numFmtId="49" fontId="8" fillId="4" borderId="2" xfId="0" applyNumberFormat="1" applyFont="1" applyFill="1" applyBorder="1" applyAlignment="1">
      <alignment horizontal="left" vertical="center" wrapText="1"/>
    </xf>
    <xf numFmtId="49" fontId="8" fillId="14" borderId="2" xfId="0" applyNumberFormat="1" applyFont="1" applyFill="1" applyBorder="1" applyAlignment="1">
      <alignment horizontal="left" vertical="center" wrapText="1"/>
    </xf>
    <xf numFmtId="164" fontId="18" fillId="14" borderId="2" xfId="0" applyNumberFormat="1" applyFont="1" applyFill="1" applyBorder="1" applyAlignment="1">
      <alignment horizontal="right" vertical="center"/>
    </xf>
    <xf numFmtId="165" fontId="20" fillId="14" borderId="2" xfId="0" applyNumberFormat="1" applyFont="1" applyFill="1" applyBorder="1" applyAlignment="1">
      <alignment horizontal="right" vertical="center"/>
    </xf>
    <xf numFmtId="10" fontId="20" fillId="14" borderId="2" xfId="0" applyNumberFormat="1" applyFont="1" applyFill="1" applyBorder="1" applyAlignment="1">
      <alignment horizontal="right" vertical="center"/>
    </xf>
    <xf numFmtId="10" fontId="18" fillId="14" borderId="2" xfId="0" applyNumberFormat="1" applyFont="1" applyFill="1" applyBorder="1" applyAlignment="1">
      <alignment horizontal="right" vertical="center"/>
    </xf>
    <xf numFmtId="1" fontId="18" fillId="14" borderId="2" xfId="0" applyNumberFormat="1" applyFont="1" applyFill="1" applyBorder="1" applyAlignment="1">
      <alignment horizontal="right" vertical="center"/>
    </xf>
    <xf numFmtId="49" fontId="23" fillId="10" borderId="2" xfId="0" applyNumberFormat="1" applyFont="1" applyFill="1" applyBorder="1" applyAlignment="1">
      <alignment horizontal="left" vertical="center" wrapText="1"/>
    </xf>
    <xf numFmtId="49" fontId="23" fillId="15" borderId="2" xfId="0" applyNumberFormat="1" applyFont="1" applyFill="1" applyBorder="1" applyAlignment="1">
      <alignment horizontal="left" vertical="center" wrapText="1"/>
    </xf>
    <xf numFmtId="164" fontId="18" fillId="15" borderId="2" xfId="0" applyNumberFormat="1" applyFont="1" applyFill="1" applyBorder="1" applyAlignment="1">
      <alignment horizontal="right" vertical="center"/>
    </xf>
    <xf numFmtId="165" fontId="20" fillId="15" borderId="2" xfId="0" applyNumberFormat="1" applyFont="1" applyFill="1" applyBorder="1" applyAlignment="1">
      <alignment horizontal="right" vertical="center"/>
    </xf>
    <xf numFmtId="10" fontId="20" fillId="15" borderId="2" xfId="0" applyNumberFormat="1" applyFont="1" applyFill="1" applyBorder="1" applyAlignment="1">
      <alignment horizontal="right" vertical="center"/>
    </xf>
    <xf numFmtId="10" fontId="18" fillId="15" borderId="2" xfId="0" applyNumberFormat="1" applyFont="1" applyFill="1" applyBorder="1" applyAlignment="1">
      <alignment horizontal="right" vertical="center"/>
    </xf>
    <xf numFmtId="1" fontId="18" fillId="15" borderId="2" xfId="0" applyNumberFormat="1" applyFont="1" applyFill="1" applyBorder="1" applyAlignment="1">
      <alignment horizontal="right" vertical="center"/>
    </xf>
    <xf numFmtId="49" fontId="25" fillId="16" borderId="2" xfId="0" applyNumberFormat="1" applyFont="1" applyFill="1" applyBorder="1" applyAlignment="1">
      <alignment horizontal="left" vertical="center" wrapText="1"/>
    </xf>
    <xf numFmtId="164" fontId="18" fillId="16" borderId="2" xfId="0" applyNumberFormat="1" applyFont="1" applyFill="1" applyBorder="1" applyAlignment="1">
      <alignment horizontal="right" vertical="center"/>
    </xf>
    <xf numFmtId="165" fontId="20" fillId="16" borderId="2" xfId="0" applyNumberFormat="1" applyFont="1" applyFill="1" applyBorder="1" applyAlignment="1">
      <alignment horizontal="right" vertical="center"/>
    </xf>
    <xf numFmtId="10" fontId="20" fillId="16" borderId="2" xfId="0" applyNumberFormat="1" applyFont="1" applyFill="1" applyBorder="1" applyAlignment="1">
      <alignment horizontal="right" vertical="center"/>
    </xf>
    <xf numFmtId="10" fontId="18" fillId="16" borderId="2" xfId="0" applyNumberFormat="1" applyFont="1" applyFill="1" applyBorder="1" applyAlignment="1">
      <alignment horizontal="right" vertical="center"/>
    </xf>
    <xf numFmtId="1" fontId="18" fillId="16" borderId="2" xfId="0" applyNumberFormat="1" applyFont="1" applyFill="1" applyBorder="1" applyAlignment="1">
      <alignment horizontal="right" vertical="center"/>
    </xf>
    <xf numFmtId="49" fontId="27" fillId="12" borderId="2" xfId="0" applyNumberFormat="1" applyFont="1" applyFill="1" applyBorder="1" applyAlignment="1">
      <alignment horizontal="left" vertical="center" wrapText="1"/>
    </xf>
    <xf numFmtId="49" fontId="27" fillId="17" borderId="2" xfId="0" applyNumberFormat="1" applyFont="1" applyFill="1" applyBorder="1" applyAlignment="1">
      <alignment horizontal="left" vertical="center" wrapText="1"/>
    </xf>
    <xf numFmtId="164" fontId="18" fillId="17" borderId="2" xfId="0" applyNumberFormat="1" applyFont="1" applyFill="1" applyBorder="1" applyAlignment="1">
      <alignment horizontal="right" vertical="center"/>
    </xf>
    <xf numFmtId="165" fontId="20" fillId="17" borderId="2" xfId="0" applyNumberFormat="1" applyFont="1" applyFill="1" applyBorder="1" applyAlignment="1">
      <alignment horizontal="right" vertical="center"/>
    </xf>
    <xf numFmtId="10" fontId="20" fillId="17" borderId="2" xfId="0" applyNumberFormat="1" applyFont="1" applyFill="1" applyBorder="1" applyAlignment="1">
      <alignment horizontal="right" vertical="center"/>
    </xf>
    <xf numFmtId="10" fontId="18" fillId="17" borderId="2" xfId="0" applyNumberFormat="1" applyFont="1" applyFill="1" applyBorder="1" applyAlignment="1">
      <alignment horizontal="right" vertical="center"/>
    </xf>
    <xf numFmtId="1" fontId="18" fillId="17" borderId="2" xfId="0" applyNumberFormat="1" applyFont="1" applyFill="1" applyBorder="1" applyAlignment="1">
      <alignment horizontal="right" vertical="center"/>
    </xf>
    <xf numFmtId="49" fontId="29" fillId="13" borderId="2" xfId="0" applyNumberFormat="1" applyFont="1" applyFill="1" applyBorder="1" applyAlignment="1">
      <alignment horizontal="left" vertical="center" wrapText="1"/>
    </xf>
    <xf numFmtId="49" fontId="29" fillId="18" borderId="2" xfId="0" applyNumberFormat="1" applyFont="1" applyFill="1" applyBorder="1" applyAlignment="1">
      <alignment horizontal="left" vertical="center" wrapText="1"/>
    </xf>
    <xf numFmtId="164" fontId="18" fillId="18" borderId="2" xfId="0" applyNumberFormat="1" applyFont="1" applyFill="1" applyBorder="1" applyAlignment="1">
      <alignment horizontal="right" vertical="center"/>
    </xf>
    <xf numFmtId="165" fontId="20" fillId="18" borderId="2" xfId="0" applyNumberFormat="1" applyFont="1" applyFill="1" applyBorder="1" applyAlignment="1">
      <alignment horizontal="right" vertical="center"/>
    </xf>
    <xf numFmtId="10" fontId="20" fillId="18" borderId="2" xfId="0" applyNumberFormat="1" applyFont="1" applyFill="1" applyBorder="1" applyAlignment="1">
      <alignment horizontal="right" vertical="center"/>
    </xf>
    <xf numFmtId="10" fontId="18" fillId="18" borderId="2" xfId="0" applyNumberFormat="1" applyFont="1" applyFill="1" applyBorder="1" applyAlignment="1">
      <alignment horizontal="right" vertical="center"/>
    </xf>
    <xf numFmtId="1" fontId="18" fillId="18" borderId="2" xfId="0" applyNumberFormat="1" applyFont="1" applyFill="1" applyBorder="1" applyAlignment="1">
      <alignment horizontal="right" vertical="center"/>
    </xf>
    <xf numFmtId="49" fontId="16" fillId="4" borderId="2" xfId="0" applyNumberFormat="1" applyFont="1" applyFill="1" applyBorder="1" applyAlignment="1">
      <alignment horizontal="left" vertical="center" wrapText="1"/>
    </xf>
    <xf numFmtId="164" fontId="16" fillId="4" borderId="2" xfId="0" applyNumberFormat="1" applyFont="1" applyFill="1" applyBorder="1" applyAlignment="1">
      <alignment horizontal="right" vertical="center"/>
    </xf>
    <xf numFmtId="49" fontId="16" fillId="4" borderId="2" xfId="0" applyNumberFormat="1" applyFont="1" applyFill="1" applyBorder="1" applyAlignment="1">
      <alignment horizontal="right" vertical="center"/>
    </xf>
    <xf numFmtId="10" fontId="19" fillId="14" borderId="2" xfId="0" applyNumberFormat="1" applyFont="1" applyFill="1" applyBorder="1" applyAlignment="1">
      <alignment horizontal="right" vertical="center"/>
    </xf>
    <xf numFmtId="164" fontId="20" fillId="14" borderId="2" xfId="0" applyNumberFormat="1" applyFont="1" applyFill="1" applyBorder="1" applyAlignment="1">
      <alignment horizontal="right" vertical="center"/>
    </xf>
    <xf numFmtId="164" fontId="19" fillId="14" borderId="2" xfId="0" applyNumberFormat="1" applyFont="1" applyFill="1" applyBorder="1" applyAlignment="1">
      <alignment horizontal="right" vertical="center"/>
    </xf>
    <xf numFmtId="10" fontId="31" fillId="14" borderId="2" xfId="0" applyNumberFormat="1" applyFont="1" applyFill="1" applyBorder="1" applyAlignment="1">
      <alignment horizontal="right" vertical="center"/>
    </xf>
    <xf numFmtId="10" fontId="19" fillId="15" borderId="2" xfId="0" applyNumberFormat="1" applyFont="1" applyFill="1" applyBorder="1" applyAlignment="1">
      <alignment horizontal="right" vertical="center"/>
    </xf>
    <xf numFmtId="164" fontId="20" fillId="15" borderId="2" xfId="0" applyNumberFormat="1" applyFont="1" applyFill="1" applyBorder="1" applyAlignment="1">
      <alignment horizontal="right" vertical="center"/>
    </xf>
    <xf numFmtId="164" fontId="19" fillId="15" borderId="2" xfId="0" applyNumberFormat="1" applyFont="1" applyFill="1" applyBorder="1" applyAlignment="1">
      <alignment horizontal="right" vertical="center"/>
    </xf>
    <xf numFmtId="10" fontId="31" fillId="15" borderId="2" xfId="0" applyNumberFormat="1" applyFont="1" applyFill="1" applyBorder="1" applyAlignment="1">
      <alignment horizontal="right" vertical="center"/>
    </xf>
    <xf numFmtId="10" fontId="19" fillId="16" borderId="2" xfId="0" applyNumberFormat="1" applyFont="1" applyFill="1" applyBorder="1" applyAlignment="1">
      <alignment horizontal="right" vertical="center"/>
    </xf>
    <xf numFmtId="164" fontId="20" fillId="16" borderId="2" xfId="0" applyNumberFormat="1" applyFont="1" applyFill="1" applyBorder="1" applyAlignment="1">
      <alignment horizontal="right" vertical="center"/>
    </xf>
    <xf numFmtId="164" fontId="19" fillId="16" borderId="2" xfId="0" applyNumberFormat="1" applyFont="1" applyFill="1" applyBorder="1" applyAlignment="1">
      <alignment horizontal="right" vertical="center"/>
    </xf>
    <xf numFmtId="10" fontId="31" fillId="16" borderId="2" xfId="0" applyNumberFormat="1" applyFont="1" applyFill="1" applyBorder="1" applyAlignment="1">
      <alignment horizontal="right" vertical="center"/>
    </xf>
    <xf numFmtId="10" fontId="19" fillId="17" borderId="2" xfId="0" applyNumberFormat="1" applyFont="1" applyFill="1" applyBorder="1" applyAlignment="1">
      <alignment horizontal="right" vertical="center"/>
    </xf>
    <xf numFmtId="164" fontId="20" fillId="17" borderId="2" xfId="0" applyNumberFormat="1" applyFont="1" applyFill="1" applyBorder="1" applyAlignment="1">
      <alignment horizontal="right" vertical="center"/>
    </xf>
    <xf numFmtId="164" fontId="19" fillId="17" borderId="2" xfId="0" applyNumberFormat="1" applyFont="1" applyFill="1" applyBorder="1" applyAlignment="1">
      <alignment horizontal="right" vertical="center"/>
    </xf>
    <xf numFmtId="10" fontId="31" fillId="17" borderId="2" xfId="0" applyNumberFormat="1" applyFont="1" applyFill="1" applyBorder="1" applyAlignment="1">
      <alignment horizontal="right" vertical="center"/>
    </xf>
    <xf numFmtId="10" fontId="19" fillId="18" borderId="2" xfId="0" applyNumberFormat="1" applyFont="1" applyFill="1" applyBorder="1" applyAlignment="1">
      <alignment horizontal="right" vertical="center"/>
    </xf>
    <xf numFmtId="164" fontId="20" fillId="18" borderId="2" xfId="0" applyNumberFormat="1" applyFont="1" applyFill="1" applyBorder="1" applyAlignment="1">
      <alignment horizontal="right" vertical="center"/>
    </xf>
    <xf numFmtId="164" fontId="19" fillId="18" borderId="2" xfId="0" applyNumberFormat="1" applyFont="1" applyFill="1" applyBorder="1" applyAlignment="1">
      <alignment horizontal="right" vertical="center"/>
    </xf>
    <xf numFmtId="10" fontId="31" fillId="18" borderId="2" xfId="0" applyNumberFormat="1" applyFont="1" applyFill="1" applyBorder="1" applyAlignment="1">
      <alignment horizontal="right" vertical="center"/>
    </xf>
    <xf numFmtId="0" fontId="10" fillId="3" borderId="1" xfId="0" applyFont="1" applyFill="1" applyBorder="1" applyAlignment="1">
      <alignment horizontal="left" vertical="center" wrapText="1"/>
    </xf>
    <xf numFmtId="164" fontId="12" fillId="7" borderId="2" xfId="0" applyNumberFormat="1" applyFont="1" applyFill="1" applyBorder="1" applyAlignment="1">
      <alignment horizontal="right" vertical="center"/>
    </xf>
    <xf numFmtId="164" fontId="11" fillId="7" borderId="2" xfId="0" applyNumberFormat="1" applyFont="1" applyFill="1" applyBorder="1" applyAlignment="1">
      <alignment horizontal="right" vertical="center"/>
    </xf>
    <xf numFmtId="164" fontId="13" fillId="7" borderId="2" xfId="0" applyNumberFormat="1" applyFont="1" applyFill="1" applyBorder="1" applyAlignment="1">
      <alignment horizontal="right" vertical="center"/>
    </xf>
    <xf numFmtId="0" fontId="5" fillId="3" borderId="1" xfId="0" applyFont="1" applyFill="1" applyBorder="1" applyAlignment="1">
      <alignment horizontal="left" vertical="center" wrapText="1"/>
    </xf>
    <xf numFmtId="49" fontId="6" fillId="6" borderId="2" xfId="0" applyNumberFormat="1" applyFont="1" applyFill="1" applyBorder="1" applyAlignment="1">
      <alignment horizontal="right" vertical="center"/>
    </xf>
    <xf numFmtId="0" fontId="7" fillId="3" borderId="0" xfId="0" applyFont="1" applyFill="1" applyAlignment="1">
      <alignment horizontal="left" vertical="center" wrapText="1"/>
    </xf>
    <xf numFmtId="164" fontId="6" fillId="6" borderId="2" xfId="0" applyNumberFormat="1" applyFont="1" applyFill="1" applyBorder="1" applyAlignment="1">
      <alignment horizontal="right" vertical="center"/>
    </xf>
    <xf numFmtId="1" fontId="6" fillId="6" borderId="2" xfId="0" applyNumberFormat="1" applyFont="1" applyFill="1" applyBorder="1" applyAlignment="1">
      <alignment horizontal="right" vertical="center"/>
    </xf>
    <xf numFmtId="0" fontId="8" fillId="4" borderId="0" xfId="0" applyFont="1" applyFill="1" applyAlignment="1">
      <alignment horizontal="left" vertical="center" wrapText="1"/>
    </xf>
    <xf numFmtId="1" fontId="9" fillId="3" borderId="2" xfId="0" applyNumberFormat="1" applyFont="1" applyFill="1" applyBorder="1" applyAlignment="1">
      <alignment horizontal="right" vertical="center"/>
    </xf>
    <xf numFmtId="10" fontId="11" fillId="7" borderId="2" xfId="0" applyNumberFormat="1" applyFont="1" applyFill="1" applyBorder="1" applyAlignment="1">
      <alignment horizontal="right" vertical="center"/>
    </xf>
    <xf numFmtId="10" fontId="13" fillId="7" borderId="2" xfId="0" applyNumberFormat="1" applyFont="1" applyFill="1" applyBorder="1" applyAlignment="1">
      <alignment horizontal="right" vertical="center"/>
    </xf>
    <xf numFmtId="10" fontId="9" fillId="3" borderId="2" xfId="0" applyNumberFormat="1" applyFont="1" applyFill="1" applyBorder="1" applyAlignment="1">
      <alignment horizontal="right" vertical="center"/>
    </xf>
    <xf numFmtId="0" fontId="14" fillId="8" borderId="0" xfId="0" applyFont="1" applyFill="1" applyAlignment="1">
      <alignment horizontal="left" vertical="center" wrapText="1"/>
    </xf>
    <xf numFmtId="166" fontId="6" fillId="6" borderId="2" xfId="0" applyNumberFormat="1" applyFont="1" applyFill="1" applyBorder="1" applyAlignment="1">
      <alignment horizontal="right" vertical="center"/>
    </xf>
    <xf numFmtId="167" fontId="9" fillId="3" borderId="2" xfId="0" applyNumberFormat="1" applyFont="1" applyFill="1" applyBorder="1" applyAlignment="1">
      <alignment horizontal="right" vertical="center"/>
    </xf>
    <xf numFmtId="164" fontId="15" fillId="3" borderId="2" xfId="0" applyNumberFormat="1" applyFont="1" applyFill="1" applyBorder="1" applyAlignment="1">
      <alignment horizontal="right" vertical="center"/>
    </xf>
    <xf numFmtId="1" fontId="17" fillId="3" borderId="2" xfId="0" applyNumberFormat="1" applyFont="1" applyFill="1" applyBorder="1" applyAlignment="1">
      <alignment horizontal="center" vertical="center" wrapText="1"/>
    </xf>
    <xf numFmtId="164" fontId="18" fillId="3" borderId="2" xfId="0" applyNumberFormat="1" applyFont="1" applyFill="1" applyBorder="1" applyAlignment="1">
      <alignment horizontal="right" vertical="center"/>
    </xf>
    <xf numFmtId="1" fontId="17" fillId="7" borderId="2" xfId="0" applyNumberFormat="1" applyFont="1" applyFill="1" applyBorder="1" applyAlignment="1">
      <alignment horizontal="center" vertical="center" wrapText="1"/>
    </xf>
    <xf numFmtId="164" fontId="18" fillId="7" borderId="2" xfId="0" applyNumberFormat="1" applyFont="1" applyFill="1" applyBorder="1" applyAlignment="1">
      <alignment horizontal="right" vertical="center"/>
    </xf>
    <xf numFmtId="0" fontId="23" fillId="10" borderId="0" xfId="0" applyFont="1" applyFill="1" applyAlignment="1">
      <alignment horizontal="left" vertical="center" wrapText="1"/>
    </xf>
    <xf numFmtId="0" fontId="25" fillId="11" borderId="0" xfId="0" applyFont="1" applyFill="1" applyAlignment="1">
      <alignment horizontal="left" vertical="center" wrapText="1"/>
    </xf>
    <xf numFmtId="0" fontId="27" fillId="12" borderId="0" xfId="0" applyFont="1" applyFill="1" applyAlignment="1">
      <alignment horizontal="left" vertical="center" wrapText="1"/>
    </xf>
    <xf numFmtId="0" fontId="29" fillId="13" borderId="0" xfId="0" applyFont="1" applyFill="1" applyAlignment="1">
      <alignment horizontal="left" vertical="center" wrapText="1"/>
    </xf>
    <xf numFmtId="0" fontId="0" fillId="3" borderId="0" xfId="0" applyFill="1"/>
    <xf numFmtId="164" fontId="15" fillId="7" borderId="2" xfId="0" applyNumberFormat="1" applyFont="1" applyFill="1" applyBorder="1" applyAlignment="1">
      <alignment horizontal="right" vertical="center"/>
    </xf>
    <xf numFmtId="10" fontId="5" fillId="3" borderId="2" xfId="0" applyNumberFormat="1" applyFont="1" applyFill="1" applyBorder="1" applyAlignment="1">
      <alignment horizontal="right" vertical="center"/>
    </xf>
    <xf numFmtId="49" fontId="25" fillId="19" borderId="2" xfId="0" applyNumberFormat="1" applyFont="1" applyFill="1" applyBorder="1" applyAlignment="1">
      <alignment horizontal="left" vertical="center" wrapText="1"/>
    </xf>
    <xf numFmtId="168" fontId="6" fillId="6" borderId="2" xfId="0" applyNumberFormat="1" applyFont="1" applyFill="1" applyBorder="1" applyAlignment="1">
      <alignment horizontal="right" vertical="center"/>
    </xf>
    <xf numFmtId="2" fontId="6" fillId="6" borderId="2" xfId="0" applyNumberFormat="1" applyFont="1" applyFill="1" applyBorder="1" applyAlignment="1">
      <alignment horizontal="right" vertical="center"/>
    </xf>
    <xf numFmtId="0" fontId="37" fillId="20" borderId="0" xfId="0" applyFont="1" applyFill="1" applyAlignment="1">
      <alignment horizontal="center" vertical="center" wrapText="1"/>
    </xf>
    <xf numFmtId="0" fontId="39" fillId="20" borderId="0" xfId="0" applyFont="1" applyFill="1" applyAlignment="1">
      <alignment horizontal="center" vertical="center" wrapText="1"/>
    </xf>
    <xf numFmtId="0" fontId="40" fillId="20" borderId="0" xfId="0" applyFont="1" applyFill="1" applyAlignment="1">
      <alignment horizontal="center" vertical="center" wrapText="1"/>
    </xf>
    <xf numFmtId="0" fontId="41" fillId="20" borderId="0" xfId="0" applyFont="1" applyFill="1" applyAlignment="1">
      <alignment horizontal="center" vertical="center" wrapText="1"/>
    </xf>
    <xf numFmtId="0" fontId="42" fillId="20" borderId="0" xfId="0" applyFont="1" applyFill="1" applyAlignment="1">
      <alignment horizontal="center" vertical="center" wrapText="1"/>
    </xf>
    <xf numFmtId="0" fontId="43" fillId="20" borderId="0" xfId="0" applyFont="1" applyFill="1" applyAlignment="1">
      <alignment horizontal="center" vertical="center" wrapText="1"/>
    </xf>
    <xf numFmtId="0" fontId="44" fillId="23" borderId="4" xfId="0" applyFont="1" applyFill="1" applyBorder="1" applyAlignment="1">
      <alignment horizontal="center" vertical="center" wrapText="1"/>
    </xf>
    <xf numFmtId="0" fontId="35" fillId="24" borderId="4" xfId="0" applyFont="1" applyFill="1" applyBorder="1" applyAlignment="1">
      <alignment horizontal="left" vertical="center" wrapText="1"/>
    </xf>
    <xf numFmtId="0" fontId="46" fillId="20" borderId="0" xfId="0" applyFont="1" applyFill="1" applyAlignment="1">
      <alignment horizontal="center" vertical="center" wrapText="1"/>
    </xf>
    <xf numFmtId="0" fontId="47" fillId="24" borderId="4" xfId="0" applyFont="1" applyFill="1" applyBorder="1" applyAlignment="1">
      <alignment horizontal="left" vertical="center" wrapText="1"/>
    </xf>
    <xf numFmtId="0" fontId="48" fillId="24" borderId="0" xfId="0" applyFont="1" applyFill="1" applyAlignment="1">
      <alignment horizontal="center" vertical="center" wrapText="1"/>
    </xf>
    <xf numFmtId="169" fontId="6" fillId="6" borderId="2" xfId="0" applyNumberFormat="1" applyFont="1" applyFill="1" applyBorder="1" applyAlignment="1">
      <alignment horizontal="right" vertical="center"/>
    </xf>
    <xf numFmtId="164" fontId="50" fillId="26" borderId="10" xfId="0" applyNumberFormat="1" applyFont="1" applyFill="1" applyBorder="1" applyAlignment="1">
      <alignment horizontal="right" vertical="center"/>
    </xf>
    <xf numFmtId="164" fontId="51" fillId="26" borderId="10" xfId="0" applyNumberFormat="1" applyFont="1" applyFill="1" applyBorder="1" applyAlignment="1">
      <alignment horizontal="right" vertical="center"/>
    </xf>
    <xf numFmtId="164" fontId="50" fillId="27" borderId="10" xfId="0" applyNumberFormat="1" applyFont="1" applyFill="1" applyBorder="1" applyAlignment="1">
      <alignment horizontal="right" vertical="center"/>
    </xf>
    <xf numFmtId="164" fontId="51" fillId="27" borderId="10" xfId="0" applyNumberFormat="1" applyFont="1" applyFill="1" applyBorder="1" applyAlignment="1">
      <alignment horizontal="right" vertical="center"/>
    </xf>
    <xf numFmtId="0" fontId="33" fillId="20" borderId="0" xfId="0" applyFont="1" applyFill="1" applyAlignment="1">
      <alignment horizontal="left" vertical="center"/>
    </xf>
    <xf numFmtId="0" fontId="0" fillId="0" borderId="0" xfId="0"/>
    <xf numFmtId="0" fontId="7" fillId="3" borderId="0" xfId="0" applyFont="1" applyFill="1" applyAlignment="1">
      <alignment horizontal="left" vertical="center" wrapText="1"/>
    </xf>
    <xf numFmtId="0" fontId="4" fillId="5" borderId="0" xfId="0" applyFont="1" applyFill="1" applyAlignment="1">
      <alignment horizontal="left" vertical="center" wrapText="1"/>
    </xf>
    <xf numFmtId="0" fontId="16" fillId="4" borderId="0" xfId="0" applyFont="1" applyFill="1" applyAlignment="1">
      <alignment horizontal="left" vertical="center" wrapText="1"/>
    </xf>
    <xf numFmtId="0" fontId="29" fillId="13" borderId="0" xfId="0" applyFont="1" applyFill="1" applyAlignment="1">
      <alignment horizontal="left" vertical="center" wrapText="1"/>
    </xf>
    <xf numFmtId="0" fontId="10" fillId="3" borderId="3" xfId="0" applyFont="1" applyFill="1" applyBorder="1" applyAlignment="1">
      <alignment horizontal="left" vertical="center" wrapText="1"/>
    </xf>
    <xf numFmtId="0" fontId="0" fillId="0" borderId="3" xfId="0" applyBorder="1"/>
    <xf numFmtId="0" fontId="2" fillId="3" borderId="0" xfId="0" applyFont="1" applyFill="1" applyAlignment="1">
      <alignment horizontal="left" vertical="center" wrapText="1"/>
    </xf>
    <xf numFmtId="0" fontId="1" fillId="2" borderId="0" xfId="0" applyFont="1" applyFill="1" applyAlignment="1">
      <alignment horizontal="center" vertical="center" wrapText="1"/>
    </xf>
    <xf numFmtId="0" fontId="0" fillId="3" borderId="0" xfId="0" applyFill="1"/>
    <xf numFmtId="0" fontId="28" fillId="13" borderId="0" xfId="0" applyFont="1" applyFill="1" applyAlignment="1">
      <alignment horizontal="left" vertical="center" wrapText="1"/>
    </xf>
    <xf numFmtId="0" fontId="21" fillId="9" borderId="5" xfId="0" applyFont="1" applyFill="1" applyBorder="1" applyAlignment="1">
      <alignment horizontal="left" vertical="top" wrapText="1"/>
    </xf>
    <xf numFmtId="0" fontId="0" fillId="0" borderId="8" xfId="0" applyBorder="1"/>
    <xf numFmtId="0" fontId="0" fillId="0" borderId="9" xfId="0" applyBorder="1"/>
    <xf numFmtId="0" fontId="32" fillId="9" borderId="5" xfId="0" applyFont="1" applyFill="1" applyBorder="1" applyAlignment="1">
      <alignment horizontal="left" vertical="center" wrapText="1"/>
    </xf>
    <xf numFmtId="0" fontId="52" fillId="27" borderId="0" xfId="0" applyFont="1" applyFill="1" applyAlignment="1">
      <alignment horizontal="center" vertical="center"/>
    </xf>
    <xf numFmtId="0" fontId="38" fillId="20" borderId="4" xfId="0" applyFont="1" applyFill="1" applyBorder="1" applyAlignment="1">
      <alignment horizontal="left" vertical="center" wrapText="1"/>
    </xf>
    <xf numFmtId="0" fontId="0" fillId="0" borderId="6" xfId="0" applyBorder="1"/>
    <xf numFmtId="0" fontId="0" fillId="0" borderId="7" xfId="0" applyBorder="1"/>
    <xf numFmtId="0" fontId="35" fillId="22" borderId="0" xfId="0" applyFont="1" applyFill="1" applyAlignment="1">
      <alignment horizontal="left" vertical="center" wrapText="1"/>
    </xf>
    <xf numFmtId="0" fontId="45" fillId="25" borderId="5" xfId="0" applyFont="1" applyFill="1" applyBorder="1" applyAlignment="1">
      <alignment horizontal="left" vertical="center" wrapText="1"/>
    </xf>
    <xf numFmtId="0" fontId="34" fillId="21" borderId="0" xfId="0" applyFont="1" applyFill="1" applyAlignment="1">
      <alignment horizontal="center" vertical="center" wrapText="1"/>
    </xf>
    <xf numFmtId="0" fontId="38" fillId="20" borderId="0" xfId="0" applyFont="1" applyFill="1" applyAlignment="1">
      <alignment horizontal="left" vertical="center" wrapText="1"/>
    </xf>
    <xf numFmtId="0" fontId="49" fillId="25" borderId="5" xfId="0" applyFont="1" applyFill="1" applyBorder="1" applyAlignment="1">
      <alignment horizontal="left" vertical="top" wrapText="1"/>
    </xf>
    <xf numFmtId="0" fontId="36" fillId="20" borderId="0" xfId="0" applyFont="1" applyFill="1" applyAlignment="1">
      <alignment horizontal="left" vertical="center" wrapText="1"/>
    </xf>
    <xf numFmtId="164" fontId="12" fillId="7" borderId="4" xfId="0" applyNumberFormat="1" applyFont="1" applyFill="1" applyBorder="1" applyAlignment="1">
      <alignment horizontal="right" vertical="center"/>
    </xf>
    <xf numFmtId="164" fontId="11" fillId="7" borderId="4" xfId="0" applyNumberFormat="1" applyFont="1" applyFill="1" applyBorder="1" applyAlignment="1">
      <alignment horizontal="right" vertical="center"/>
    </xf>
    <xf numFmtId="164" fontId="13" fillId="7" borderId="4" xfId="0" applyNumberFormat="1" applyFont="1" applyFill="1" applyBorder="1" applyAlignment="1">
      <alignment horizontal="right" vertical="center"/>
    </xf>
    <xf numFmtId="0" fontId="30" fillId="3" borderId="0" xfId="0" applyFont="1" applyFill="1" applyAlignment="1">
      <alignment horizontal="left" vertical="center" wrapText="1"/>
    </xf>
    <xf numFmtId="0" fontId="8" fillId="4" borderId="0" xfId="0" applyFont="1" applyFill="1" applyAlignment="1">
      <alignment horizontal="left" vertical="center" wrapText="1"/>
    </xf>
    <xf numFmtId="0" fontId="3" fillId="4" borderId="0" xfId="0" applyFont="1" applyFill="1" applyAlignment="1">
      <alignment horizontal="left" vertical="center" wrapText="1"/>
    </xf>
    <xf numFmtId="0" fontId="23" fillId="10" borderId="0" xfId="0" applyFont="1" applyFill="1" applyAlignment="1">
      <alignment horizontal="left" vertical="center" wrapText="1"/>
    </xf>
    <xf numFmtId="0" fontId="22" fillId="10" borderId="0" xfId="0" applyFont="1" applyFill="1" applyAlignment="1">
      <alignment horizontal="left" vertical="center" wrapText="1"/>
    </xf>
    <xf numFmtId="0" fontId="25" fillId="19" borderId="0" xfId="0" applyFont="1" applyFill="1" applyAlignment="1">
      <alignment horizontal="left" vertical="center" wrapText="1"/>
    </xf>
    <xf numFmtId="0" fontId="24" fillId="19" borderId="0" xfId="0" applyFont="1" applyFill="1" applyAlignment="1">
      <alignment horizontal="left" vertical="center" wrapText="1"/>
    </xf>
    <xf numFmtId="0" fontId="27" fillId="12" borderId="0" xfId="0" applyFont="1" applyFill="1" applyAlignment="1">
      <alignment horizontal="left" vertical="center" wrapText="1"/>
    </xf>
    <xf numFmtId="0" fontId="26" fillId="12"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57200" cy="4572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8</xdr:col>
      <xdr:colOff>0</xdr:colOff>
      <xdr:row>0</xdr:row>
      <xdr:rowOff>0</xdr:rowOff>
    </xdr:from>
    <xdr:ext cx="438150" cy="438150"/>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6</xdr:col>
      <xdr:colOff>0</xdr:colOff>
      <xdr:row>0</xdr:row>
      <xdr:rowOff>0</xdr:rowOff>
    </xdr:from>
    <xdr:ext cx="438150" cy="438150"/>
    <xdr:pic>
      <xdr:nvPicPr>
        <xdr:cNvPr id="3" name="Image 2"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aily-compound-flow.base44.ap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daily-compound-flow.base44.ap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aily-compound-flow.base44.ap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daily-compound-flow.base44.app/"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daily-compound-flow.base44.app/"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daily-compound-flow.base44.app/"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daily-compound-flow.base44.a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tabSelected="1" workbookViewId="0">
      <selection activeCell="J3" sqref="J3"/>
    </sheetView>
  </sheetViews>
  <sheetFormatPr defaultRowHeight="15" x14ac:dyDescent="0.25"/>
  <cols>
    <col min="1" max="1" width="5" customWidth="1"/>
    <col min="2" max="2" width="22" customWidth="1"/>
    <col min="3" max="3" width="46" customWidth="1"/>
    <col min="4" max="4" width="1" customWidth="1"/>
    <col min="5" max="5" width="62.42578125" customWidth="1"/>
    <col min="6" max="9" width="12.140625" hidden="1" customWidth="1"/>
    <col min="10" max="10" width="9.7109375" hidden="1" customWidth="1"/>
    <col min="11" max="11" width="24.42578125" customWidth="1"/>
  </cols>
  <sheetData>
    <row r="1" spans="1:8" ht="36" customHeight="1" x14ac:dyDescent="0.25">
      <c r="A1" s="130" t="s">
        <v>76</v>
      </c>
      <c r="B1" s="109"/>
      <c r="C1" s="109"/>
      <c r="D1" s="109"/>
      <c r="E1" s="109"/>
      <c r="F1" s="109"/>
      <c r="G1" s="109"/>
      <c r="H1" s="109"/>
    </row>
    <row r="2" spans="1:8" ht="15.95" customHeight="1" x14ac:dyDescent="0.25">
      <c r="A2" s="124" t="s">
        <v>1</v>
      </c>
      <c r="B2" s="109"/>
      <c r="C2" s="109"/>
      <c r="D2" s="109"/>
      <c r="E2" s="109"/>
      <c r="F2" s="109"/>
      <c r="G2" s="109"/>
      <c r="H2" s="109"/>
    </row>
    <row r="4" spans="1:8" ht="21.95" customHeight="1" x14ac:dyDescent="0.25">
      <c r="A4" s="128" t="s">
        <v>77</v>
      </c>
      <c r="B4" s="109"/>
      <c r="C4" s="109"/>
      <c r="D4" s="109"/>
      <c r="E4" s="109"/>
      <c r="F4" s="109"/>
      <c r="G4" s="109"/>
      <c r="H4" s="109"/>
    </row>
    <row r="5" spans="1:8" ht="51.95" customHeight="1" x14ac:dyDescent="0.25">
      <c r="A5" s="133" t="s">
        <v>78</v>
      </c>
      <c r="B5" s="109"/>
      <c r="C5" s="109"/>
      <c r="D5" s="109"/>
      <c r="E5" s="109"/>
      <c r="F5" s="109"/>
      <c r="G5" s="109"/>
      <c r="H5" s="109"/>
    </row>
    <row r="7" spans="1:8" ht="21.95" customHeight="1" x14ac:dyDescent="0.25">
      <c r="A7" s="128" t="s">
        <v>79</v>
      </c>
      <c r="B7" s="109"/>
      <c r="C7" s="109"/>
      <c r="D7" s="109"/>
      <c r="E7" s="109"/>
      <c r="F7" s="109"/>
      <c r="G7" s="109"/>
      <c r="H7" s="109"/>
    </row>
    <row r="8" spans="1:8" ht="20.100000000000001" customHeight="1" x14ac:dyDescent="0.25">
      <c r="A8" s="92" t="s">
        <v>80</v>
      </c>
      <c r="B8" s="131" t="s">
        <v>81</v>
      </c>
      <c r="C8" s="109"/>
      <c r="D8" s="109"/>
      <c r="E8" s="109"/>
      <c r="F8" s="109"/>
    </row>
    <row r="9" spans="1:8" ht="20.100000000000001" customHeight="1" x14ac:dyDescent="0.25">
      <c r="A9" s="93" t="s">
        <v>80</v>
      </c>
      <c r="B9" s="131" t="s">
        <v>82</v>
      </c>
      <c r="C9" s="109"/>
      <c r="D9" s="109"/>
      <c r="E9" s="109"/>
      <c r="F9" s="109"/>
    </row>
    <row r="10" spans="1:8" ht="20.100000000000001" customHeight="1" x14ac:dyDescent="0.25">
      <c r="A10" s="94" t="s">
        <v>80</v>
      </c>
      <c r="B10" s="131" t="s">
        <v>83</v>
      </c>
      <c r="C10" s="109"/>
      <c r="D10" s="109"/>
      <c r="E10" s="109"/>
      <c r="F10" s="109"/>
    </row>
    <row r="11" spans="1:8" ht="20.100000000000001" customHeight="1" x14ac:dyDescent="0.25">
      <c r="A11" s="95" t="s">
        <v>80</v>
      </c>
      <c r="B11" s="131" t="s">
        <v>84</v>
      </c>
      <c r="C11" s="109"/>
      <c r="D11" s="109"/>
      <c r="E11" s="109"/>
      <c r="F11" s="109"/>
    </row>
    <row r="12" spans="1:8" ht="20.100000000000001" customHeight="1" x14ac:dyDescent="0.25">
      <c r="A12" s="96" t="s">
        <v>80</v>
      </c>
      <c r="B12" s="131" t="s">
        <v>85</v>
      </c>
      <c r="C12" s="109"/>
      <c r="D12" s="109"/>
      <c r="E12" s="109"/>
      <c r="F12" s="109"/>
    </row>
    <row r="13" spans="1:8" ht="20.100000000000001" customHeight="1" x14ac:dyDescent="0.25">
      <c r="A13" s="97" t="s">
        <v>80</v>
      </c>
      <c r="B13" s="131" t="s">
        <v>86</v>
      </c>
      <c r="C13" s="109"/>
      <c r="D13" s="109"/>
      <c r="E13" s="109"/>
      <c r="F13" s="109"/>
    </row>
    <row r="15" spans="1:8" ht="21.95" customHeight="1" x14ac:dyDescent="0.25">
      <c r="A15" s="128" t="s">
        <v>87</v>
      </c>
      <c r="B15" s="109"/>
      <c r="C15" s="109"/>
      <c r="D15" s="109"/>
      <c r="E15" s="109"/>
      <c r="F15" s="109"/>
      <c r="G15" s="109"/>
      <c r="H15" s="109"/>
    </row>
    <row r="16" spans="1:8" ht="42" customHeight="1" x14ac:dyDescent="0.25">
      <c r="A16" s="98" t="s">
        <v>88</v>
      </c>
      <c r="B16" s="99" t="s">
        <v>89</v>
      </c>
      <c r="C16" s="125" t="s">
        <v>90</v>
      </c>
      <c r="D16" s="126"/>
      <c r="E16" s="126"/>
      <c r="F16" s="126"/>
      <c r="G16" s="126"/>
      <c r="H16" s="127"/>
    </row>
    <row r="17" spans="1:8" ht="42" customHeight="1" x14ac:dyDescent="0.25">
      <c r="A17" s="98" t="s">
        <v>91</v>
      </c>
      <c r="B17" s="99" t="s">
        <v>92</v>
      </c>
      <c r="C17" s="125" t="s">
        <v>93</v>
      </c>
      <c r="D17" s="126"/>
      <c r="E17" s="126"/>
      <c r="F17" s="126"/>
      <c r="G17" s="126"/>
      <c r="H17" s="127"/>
    </row>
    <row r="18" spans="1:8" ht="42" customHeight="1" x14ac:dyDescent="0.25">
      <c r="A18" s="98" t="s">
        <v>94</v>
      </c>
      <c r="B18" s="99" t="s">
        <v>95</v>
      </c>
      <c r="C18" s="125" t="s">
        <v>96</v>
      </c>
      <c r="D18" s="126"/>
      <c r="E18" s="126"/>
      <c r="F18" s="126"/>
      <c r="G18" s="126"/>
      <c r="H18" s="127"/>
    </row>
    <row r="19" spans="1:8" ht="42" customHeight="1" x14ac:dyDescent="0.25">
      <c r="A19" s="98" t="s">
        <v>97</v>
      </c>
      <c r="B19" s="99" t="s">
        <v>98</v>
      </c>
      <c r="C19" s="125" t="s">
        <v>99</v>
      </c>
      <c r="D19" s="126"/>
      <c r="E19" s="126"/>
      <c r="F19" s="126"/>
      <c r="G19" s="126"/>
      <c r="H19" s="127"/>
    </row>
    <row r="20" spans="1:8" ht="42" customHeight="1" x14ac:dyDescent="0.25">
      <c r="A20" s="98" t="s">
        <v>100</v>
      </c>
      <c r="B20" s="99" t="s">
        <v>101</v>
      </c>
      <c r="C20" s="125" t="s">
        <v>102</v>
      </c>
      <c r="D20" s="126"/>
      <c r="E20" s="126"/>
      <c r="F20" s="126"/>
      <c r="G20" s="126"/>
      <c r="H20" s="127"/>
    </row>
    <row r="21" spans="1:8" ht="42" customHeight="1" x14ac:dyDescent="0.25">
      <c r="A21" s="98" t="s">
        <v>103</v>
      </c>
      <c r="B21" s="99" t="s">
        <v>104</v>
      </c>
      <c r="C21" s="125" t="s">
        <v>105</v>
      </c>
      <c r="D21" s="126"/>
      <c r="E21" s="126"/>
      <c r="F21" s="126"/>
      <c r="G21" s="126"/>
      <c r="H21" s="127"/>
    </row>
    <row r="22" spans="1:8" ht="42" customHeight="1" x14ac:dyDescent="0.25">
      <c r="A22" s="98" t="s">
        <v>106</v>
      </c>
      <c r="B22" s="99" t="s">
        <v>107</v>
      </c>
      <c r="C22" s="125" t="s">
        <v>108</v>
      </c>
      <c r="D22" s="126"/>
      <c r="E22" s="126"/>
      <c r="F22" s="126"/>
      <c r="G22" s="126"/>
      <c r="H22" s="127"/>
    </row>
    <row r="23" spans="1:8" ht="42" customHeight="1" x14ac:dyDescent="0.25">
      <c r="A23" s="98" t="s">
        <v>109</v>
      </c>
      <c r="B23" s="99" t="s">
        <v>110</v>
      </c>
      <c r="C23" s="125" t="s">
        <v>111</v>
      </c>
      <c r="D23" s="126"/>
      <c r="E23" s="126"/>
      <c r="F23" s="126"/>
      <c r="G23" s="126"/>
      <c r="H23" s="127"/>
    </row>
    <row r="24" spans="1:8" ht="42" customHeight="1" x14ac:dyDescent="0.25">
      <c r="A24" s="98" t="s">
        <v>112</v>
      </c>
      <c r="B24" s="99" t="s">
        <v>113</v>
      </c>
      <c r="C24" s="125" t="s">
        <v>114</v>
      </c>
      <c r="D24" s="126"/>
      <c r="E24" s="126"/>
      <c r="F24" s="126"/>
      <c r="G24" s="126"/>
      <c r="H24" s="127"/>
    </row>
    <row r="26" spans="1:8" ht="39.950000000000003" customHeight="1" x14ac:dyDescent="0.25">
      <c r="A26" s="129" t="s">
        <v>115</v>
      </c>
      <c r="B26" s="121"/>
      <c r="C26" s="121"/>
      <c r="D26" s="121"/>
      <c r="E26" s="121"/>
      <c r="F26" s="121"/>
      <c r="G26" s="121"/>
      <c r="H26" s="122"/>
    </row>
    <row r="28" spans="1:8" ht="21.95" customHeight="1" x14ac:dyDescent="0.25">
      <c r="A28" s="128" t="s">
        <v>116</v>
      </c>
      <c r="B28" s="109"/>
      <c r="C28" s="109"/>
      <c r="D28" s="109"/>
      <c r="E28" s="109"/>
      <c r="F28" s="109"/>
      <c r="G28" s="109"/>
      <c r="H28" s="109"/>
    </row>
    <row r="29" spans="1:8" ht="42" customHeight="1" x14ac:dyDescent="0.25">
      <c r="A29" s="98" t="s">
        <v>88</v>
      </c>
      <c r="B29" s="99" t="s">
        <v>117</v>
      </c>
      <c r="C29" s="125" t="s">
        <v>118</v>
      </c>
      <c r="D29" s="126"/>
      <c r="E29" s="126"/>
      <c r="F29" s="126"/>
      <c r="G29" s="126"/>
      <c r="H29" s="127"/>
    </row>
    <row r="30" spans="1:8" ht="42" customHeight="1" x14ac:dyDescent="0.25">
      <c r="A30" s="98" t="s">
        <v>91</v>
      </c>
      <c r="B30" s="99" t="s">
        <v>119</v>
      </c>
      <c r="C30" s="125" t="s">
        <v>120</v>
      </c>
      <c r="D30" s="126"/>
      <c r="E30" s="126"/>
      <c r="F30" s="126"/>
      <c r="G30" s="126"/>
      <c r="H30" s="127"/>
    </row>
    <row r="31" spans="1:8" ht="42" customHeight="1" x14ac:dyDescent="0.25">
      <c r="A31" s="98" t="s">
        <v>94</v>
      </c>
      <c r="B31" s="99" t="s">
        <v>121</v>
      </c>
      <c r="C31" s="125" t="s">
        <v>122</v>
      </c>
      <c r="D31" s="126"/>
      <c r="E31" s="126"/>
      <c r="F31" s="126"/>
      <c r="G31" s="126"/>
      <c r="H31" s="127"/>
    </row>
    <row r="32" spans="1:8" ht="42" customHeight="1" x14ac:dyDescent="0.25">
      <c r="A32" s="98" t="s">
        <v>97</v>
      </c>
      <c r="B32" s="99" t="s">
        <v>123</v>
      </c>
      <c r="C32" s="125" t="s">
        <v>124</v>
      </c>
      <c r="D32" s="126"/>
      <c r="E32" s="126"/>
      <c r="F32" s="126"/>
      <c r="G32" s="126"/>
      <c r="H32" s="127"/>
    </row>
    <row r="33" spans="1:8" ht="42" customHeight="1" x14ac:dyDescent="0.25">
      <c r="A33" s="98" t="s">
        <v>100</v>
      </c>
      <c r="B33" s="99" t="s">
        <v>125</v>
      </c>
      <c r="C33" s="125" t="s">
        <v>126</v>
      </c>
      <c r="D33" s="126"/>
      <c r="E33" s="126"/>
      <c r="F33" s="126"/>
      <c r="G33" s="126"/>
      <c r="H33" s="127"/>
    </row>
    <row r="34" spans="1:8" ht="42" customHeight="1" x14ac:dyDescent="0.25">
      <c r="A34" s="98" t="s">
        <v>103</v>
      </c>
      <c r="B34" s="99" t="s">
        <v>127</v>
      </c>
      <c r="C34" s="125" t="s">
        <v>128</v>
      </c>
      <c r="D34" s="126"/>
      <c r="E34" s="126"/>
      <c r="F34" s="126"/>
      <c r="G34" s="126"/>
      <c r="H34" s="127"/>
    </row>
    <row r="36" spans="1:8" ht="39.950000000000003" customHeight="1" x14ac:dyDescent="0.25">
      <c r="A36" s="129" t="s">
        <v>129</v>
      </c>
      <c r="B36" s="121"/>
      <c r="C36" s="121"/>
      <c r="D36" s="121"/>
      <c r="E36" s="121"/>
      <c r="F36" s="121"/>
      <c r="G36" s="121"/>
      <c r="H36" s="122"/>
    </row>
    <row r="38" spans="1:8" ht="21.95" customHeight="1" x14ac:dyDescent="0.25">
      <c r="A38" s="128" t="s">
        <v>130</v>
      </c>
      <c r="B38" s="109"/>
      <c r="C38" s="109"/>
      <c r="D38" s="109"/>
      <c r="E38" s="109"/>
      <c r="F38" s="109"/>
      <c r="G38" s="109"/>
      <c r="H38" s="109"/>
    </row>
    <row r="39" spans="1:8" ht="44.1" customHeight="1" x14ac:dyDescent="0.25">
      <c r="A39" s="100" t="s">
        <v>131</v>
      </c>
      <c r="B39" s="101" t="s">
        <v>132</v>
      </c>
      <c r="C39" s="125" t="s">
        <v>133</v>
      </c>
      <c r="D39" s="126"/>
      <c r="E39" s="126"/>
      <c r="F39" s="126"/>
      <c r="G39" s="126"/>
      <c r="H39" s="127"/>
    </row>
    <row r="40" spans="1:8" ht="44.1" customHeight="1" x14ac:dyDescent="0.25">
      <c r="A40" s="100" t="s">
        <v>131</v>
      </c>
      <c r="B40" s="101" t="s">
        <v>134</v>
      </c>
      <c r="C40" s="125" t="s">
        <v>135</v>
      </c>
      <c r="D40" s="126"/>
      <c r="E40" s="126"/>
      <c r="F40" s="126"/>
      <c r="G40" s="126"/>
      <c r="H40" s="127"/>
    </row>
    <row r="41" spans="1:8" ht="44.1" customHeight="1" x14ac:dyDescent="0.25">
      <c r="A41" s="100" t="s">
        <v>131</v>
      </c>
      <c r="B41" s="101" t="s">
        <v>136</v>
      </c>
      <c r="C41" s="125" t="s">
        <v>137</v>
      </c>
      <c r="D41" s="126"/>
      <c r="E41" s="126"/>
      <c r="F41" s="126"/>
      <c r="G41" s="126"/>
      <c r="H41" s="127"/>
    </row>
    <row r="42" spans="1:8" ht="44.1" customHeight="1" x14ac:dyDescent="0.25">
      <c r="A42" s="100" t="s">
        <v>131</v>
      </c>
      <c r="B42" s="101" t="s">
        <v>138</v>
      </c>
      <c r="C42" s="125" t="s">
        <v>139</v>
      </c>
      <c r="D42" s="126"/>
      <c r="E42" s="126"/>
      <c r="F42" s="126"/>
      <c r="G42" s="126"/>
      <c r="H42" s="127"/>
    </row>
    <row r="44" spans="1:8" ht="21.95" customHeight="1" x14ac:dyDescent="0.25">
      <c r="A44" s="128" t="s">
        <v>140</v>
      </c>
      <c r="B44" s="109"/>
      <c r="C44" s="109"/>
      <c r="D44" s="109"/>
      <c r="E44" s="109"/>
      <c r="F44" s="109"/>
      <c r="G44" s="109"/>
      <c r="H44" s="109"/>
    </row>
    <row r="45" spans="1:8" ht="44.1" customHeight="1" x14ac:dyDescent="0.25">
      <c r="A45" s="102" t="s">
        <v>141</v>
      </c>
      <c r="B45" s="99" t="s">
        <v>142</v>
      </c>
      <c r="C45" s="125" t="s">
        <v>143</v>
      </c>
      <c r="D45" s="126"/>
      <c r="E45" s="126"/>
      <c r="F45" s="126"/>
      <c r="G45" s="126"/>
      <c r="H45" s="127"/>
    </row>
    <row r="46" spans="1:8" ht="44.1" customHeight="1" x14ac:dyDescent="0.25">
      <c r="A46" s="102" t="s">
        <v>141</v>
      </c>
      <c r="B46" s="99" t="s">
        <v>144</v>
      </c>
      <c r="C46" s="125" t="s">
        <v>145</v>
      </c>
      <c r="D46" s="126"/>
      <c r="E46" s="126"/>
      <c r="F46" s="126"/>
      <c r="G46" s="126"/>
      <c r="H46" s="127"/>
    </row>
    <row r="47" spans="1:8" ht="44.1" customHeight="1" x14ac:dyDescent="0.25">
      <c r="A47" s="102" t="s">
        <v>141</v>
      </c>
      <c r="B47" s="99" t="s">
        <v>146</v>
      </c>
      <c r="C47" s="125" t="s">
        <v>147</v>
      </c>
      <c r="D47" s="126"/>
      <c r="E47" s="126"/>
      <c r="F47" s="126"/>
      <c r="G47" s="126"/>
      <c r="H47" s="127"/>
    </row>
    <row r="48" spans="1:8" ht="44.1" customHeight="1" x14ac:dyDescent="0.25">
      <c r="A48" s="102" t="s">
        <v>141</v>
      </c>
      <c r="B48" s="99" t="s">
        <v>148</v>
      </c>
      <c r="C48" s="125" t="s">
        <v>149</v>
      </c>
      <c r="D48" s="126"/>
      <c r="E48" s="126"/>
      <c r="F48" s="126"/>
      <c r="G48" s="126"/>
      <c r="H48" s="127"/>
    </row>
    <row r="50" spans="1:8" ht="110.1" customHeight="1" x14ac:dyDescent="0.25">
      <c r="A50" s="132" t="s">
        <v>75</v>
      </c>
      <c r="B50" s="121"/>
      <c r="C50" s="121"/>
      <c r="D50" s="121"/>
      <c r="E50" s="121"/>
      <c r="F50" s="121"/>
      <c r="G50" s="121"/>
      <c r="H50" s="122"/>
    </row>
  </sheetData>
  <mergeCells count="41">
    <mergeCell ref="C48:H48"/>
    <mergeCell ref="C17:H17"/>
    <mergeCell ref="B8:F8"/>
    <mergeCell ref="B13:F13"/>
    <mergeCell ref="A50:H50"/>
    <mergeCell ref="C32:H32"/>
    <mergeCell ref="A26:H26"/>
    <mergeCell ref="C19:H19"/>
    <mergeCell ref="B10:F10"/>
    <mergeCell ref="C18:H18"/>
    <mergeCell ref="C34:H34"/>
    <mergeCell ref="C30:H30"/>
    <mergeCell ref="B9:F9"/>
    <mergeCell ref="C33:H33"/>
    <mergeCell ref="C24:H24"/>
    <mergeCell ref="C42:H42"/>
    <mergeCell ref="A1:H1"/>
    <mergeCell ref="C21:H21"/>
    <mergeCell ref="C46:H46"/>
    <mergeCell ref="B12:F12"/>
    <mergeCell ref="A7:H7"/>
    <mergeCell ref="B11:F11"/>
    <mergeCell ref="C23:H23"/>
    <mergeCell ref="C39:H39"/>
    <mergeCell ref="A2:H2"/>
    <mergeCell ref="A5:H5"/>
    <mergeCell ref="A4:H4"/>
    <mergeCell ref="A38:H38"/>
    <mergeCell ref="C45:H45"/>
    <mergeCell ref="A28:H28"/>
    <mergeCell ref="A44:H44"/>
    <mergeCell ref="C20:H20"/>
    <mergeCell ref="C47:H47"/>
    <mergeCell ref="C41:H41"/>
    <mergeCell ref="C16:H16"/>
    <mergeCell ref="A15:H15"/>
    <mergeCell ref="C22:H22"/>
    <mergeCell ref="C40:H40"/>
    <mergeCell ref="C31:H31"/>
    <mergeCell ref="A36:H36"/>
    <mergeCell ref="C29:H29"/>
  </mergeCells>
  <hyperlinks>
    <hyperlink ref="A2" r:id="rId1" xr:uid="{00000000-0004-0000-0000-000000000000}"/>
  </hyperlinks>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2"/>
  <sheetViews>
    <sheetView workbookViewId="0">
      <selection activeCell="J3" sqref="J3"/>
    </sheetView>
  </sheetViews>
  <sheetFormatPr defaultRowHeight="15" x14ac:dyDescent="0.25"/>
  <cols>
    <col min="1" max="1" width="1" customWidth="1"/>
    <col min="2" max="2" width="32.7109375" customWidth="1"/>
    <col min="3" max="4" width="16" customWidth="1"/>
    <col min="5" max="5" width="62.42578125" customWidth="1"/>
    <col min="6" max="9" width="12.140625" hidden="1" customWidth="1"/>
    <col min="10" max="10" width="9.7109375" hidden="1" customWidth="1"/>
    <col min="11" max="11" width="24.42578125" customWidth="1"/>
  </cols>
  <sheetData>
    <row r="1" spans="1:9" ht="36" customHeight="1" x14ac:dyDescent="0.25">
      <c r="A1" s="117" t="s">
        <v>150</v>
      </c>
      <c r="B1" s="109"/>
      <c r="C1" s="109"/>
      <c r="D1" s="109"/>
      <c r="E1" s="109"/>
      <c r="F1" s="109"/>
      <c r="G1" s="109"/>
      <c r="H1" s="109"/>
      <c r="I1" s="109"/>
    </row>
    <row r="2" spans="1:9" ht="15.95" customHeight="1" x14ac:dyDescent="0.25">
      <c r="A2" s="124" t="s">
        <v>1</v>
      </c>
      <c r="B2" s="109"/>
      <c r="C2" s="109"/>
      <c r="D2" s="109"/>
      <c r="E2" s="109"/>
      <c r="F2" s="109"/>
      <c r="G2" s="109"/>
      <c r="H2" s="109"/>
      <c r="I2" s="109"/>
    </row>
    <row r="4" spans="1:9" ht="21.95" customHeight="1" x14ac:dyDescent="0.25">
      <c r="B4" s="137" t="s">
        <v>151</v>
      </c>
      <c r="C4" s="109"/>
      <c r="D4" s="109"/>
      <c r="E4" s="109"/>
      <c r="F4" s="109"/>
      <c r="G4" s="109"/>
      <c r="H4" s="109"/>
      <c r="I4" s="109"/>
    </row>
    <row r="6" spans="1:9" ht="20.100000000000001" customHeight="1" x14ac:dyDescent="0.25">
      <c r="B6" s="111" t="s">
        <v>152</v>
      </c>
      <c r="C6" s="109"/>
      <c r="D6" s="109"/>
      <c r="E6" s="109"/>
      <c r="F6" s="109"/>
      <c r="G6" s="109"/>
      <c r="H6" s="109"/>
      <c r="I6" s="109"/>
    </row>
    <row r="7" spans="1:9" ht="21.95" customHeight="1" x14ac:dyDescent="0.25">
      <c r="B7" s="2" t="s">
        <v>153</v>
      </c>
      <c r="C7" s="2" t="s">
        <v>154</v>
      </c>
      <c r="D7" s="2" t="s">
        <v>155</v>
      </c>
      <c r="E7" s="2" t="s">
        <v>156</v>
      </c>
      <c r="F7" s="2" t="s">
        <v>157</v>
      </c>
      <c r="G7" s="2" t="s">
        <v>158</v>
      </c>
      <c r="H7" s="2" t="s">
        <v>159</v>
      </c>
      <c r="I7" s="2" t="s">
        <v>160</v>
      </c>
    </row>
    <row r="8" spans="1:9" ht="21.95" customHeight="1" x14ac:dyDescent="0.25">
      <c r="B8" s="3" t="s">
        <v>88</v>
      </c>
      <c r="C8" s="4" t="str">
        <f>'Holding 1'!C7</f>
        <v>Crypto 1</v>
      </c>
      <c r="D8" s="5">
        <f>'Holding 1'!C8</f>
        <v>1000</v>
      </c>
      <c r="E8" s="6">
        <f>'Holding 1'!C9</f>
        <v>5.4999999999999997E-3</v>
      </c>
      <c r="F8" s="7">
        <f>'Holding 1'!C10</f>
        <v>0.16499999999999998</v>
      </c>
      <c r="G8" s="8">
        <f>'Holding 1'!C11</f>
        <v>2.0074999999999998</v>
      </c>
      <c r="H8" s="9">
        <f>'Holding 1'!C12</f>
        <v>0.5</v>
      </c>
      <c r="I8" s="5">
        <f>'Holding 1'!C15</f>
        <v>0</v>
      </c>
    </row>
    <row r="9" spans="1:9" ht="21.95" customHeight="1" x14ac:dyDescent="0.25">
      <c r="B9" s="10" t="s">
        <v>91</v>
      </c>
      <c r="C9" s="11" t="str">
        <f>'Holding 2'!C7</f>
        <v>Crypto 2</v>
      </c>
      <c r="D9" s="12">
        <f>'Holding 2'!C8</f>
        <v>2500</v>
      </c>
      <c r="E9" s="13">
        <f>'Holding 2'!C9</f>
        <v>7.4999999999999997E-3</v>
      </c>
      <c r="F9" s="14">
        <f>'Holding 2'!C10</f>
        <v>0.17</v>
      </c>
      <c r="G9" s="15">
        <f>'Holding 2'!C11</f>
        <v>0.2</v>
      </c>
      <c r="H9" s="16">
        <f>'Holding 2'!C12</f>
        <v>1</v>
      </c>
      <c r="I9" s="12">
        <f>'Holding 2'!C15</f>
        <v>100</v>
      </c>
    </row>
    <row r="10" spans="1:9" ht="21.95" customHeight="1" x14ac:dyDescent="0.25">
      <c r="B10" s="89" t="s">
        <v>94</v>
      </c>
      <c r="C10" s="17" t="str">
        <f>'Holding 3'!C7</f>
        <v>Crypto3</v>
      </c>
      <c r="D10" s="18">
        <f>'Holding 3'!C8</f>
        <v>500</v>
      </c>
      <c r="E10" s="19">
        <f>'Holding 3'!C9</f>
        <v>2E-3</v>
      </c>
      <c r="F10" s="20">
        <f>'Holding 3'!C10</f>
        <v>0.08</v>
      </c>
      <c r="G10" s="21">
        <f>'Holding 3'!C11</f>
        <v>0.2</v>
      </c>
      <c r="H10" s="22">
        <f>'Holding 3'!C12</f>
        <v>1</v>
      </c>
      <c r="I10" s="18">
        <f>'Holding 3'!C15</f>
        <v>0</v>
      </c>
    </row>
    <row r="11" spans="1:9" ht="21.95" customHeight="1" x14ac:dyDescent="0.25">
      <c r="B11" s="23" t="s">
        <v>97</v>
      </c>
      <c r="C11" s="24" t="str">
        <f>'Holding 4'!C7</f>
        <v>Holding 4</v>
      </c>
      <c r="D11" s="25">
        <f>'Holding 4'!C8</f>
        <v>750</v>
      </c>
      <c r="E11" s="26">
        <f>'Holding 4'!C9</f>
        <v>3.0000000000000001E-3</v>
      </c>
      <c r="F11" s="27">
        <f>'Holding 4'!C10</f>
        <v>0.12</v>
      </c>
      <c r="G11" s="28">
        <f>'Holding 4'!C11</f>
        <v>0.2</v>
      </c>
      <c r="H11" s="29">
        <f>'Holding 4'!C12</f>
        <v>1</v>
      </c>
      <c r="I11" s="25">
        <f>'Holding 4'!C15</f>
        <v>0</v>
      </c>
    </row>
    <row r="12" spans="1:9" ht="21.95" customHeight="1" x14ac:dyDescent="0.25">
      <c r="B12" s="30" t="s">
        <v>100</v>
      </c>
      <c r="C12" s="31" t="str">
        <f>'Holding 5'!C7</f>
        <v>Holding 5</v>
      </c>
      <c r="D12" s="32">
        <f>'Holding 5'!C8</f>
        <v>7500</v>
      </c>
      <c r="E12" s="33">
        <f>'Holding 5'!C9</f>
        <v>5.4999999999999997E-3</v>
      </c>
      <c r="F12" s="34">
        <f>'Holding 5'!C10</f>
        <v>0</v>
      </c>
      <c r="G12" s="35">
        <f>'Holding 5'!C11</f>
        <v>0</v>
      </c>
      <c r="H12" s="36">
        <f>'Holding 5'!C12</f>
        <v>1</v>
      </c>
      <c r="I12" s="32">
        <f>'Holding 5'!C15</f>
        <v>0</v>
      </c>
    </row>
    <row r="13" spans="1:9" ht="21.95" customHeight="1" x14ac:dyDescent="0.25">
      <c r="B13" s="37" t="s">
        <v>161</v>
      </c>
      <c r="C13" s="37"/>
      <c r="D13" s="38">
        <f>SUM(D8:D12)</f>
        <v>12250</v>
      </c>
      <c r="E13" s="39"/>
      <c r="F13" s="39"/>
      <c r="G13" s="39"/>
      <c r="H13" s="39"/>
      <c r="I13" s="38">
        <f>SUM(I8:I12)</f>
        <v>100</v>
      </c>
    </row>
    <row r="15" spans="1:9" ht="20.100000000000001" customHeight="1" x14ac:dyDescent="0.25">
      <c r="B15" s="111" t="s">
        <v>162</v>
      </c>
      <c r="C15" s="109"/>
      <c r="D15" s="109"/>
      <c r="E15" s="109"/>
      <c r="F15" s="109"/>
      <c r="G15" s="109"/>
      <c r="H15" s="109"/>
      <c r="I15" s="109"/>
    </row>
    <row r="16" spans="1:9" ht="21.95" customHeight="1" x14ac:dyDescent="0.25">
      <c r="B16" s="2" t="s">
        <v>153</v>
      </c>
      <c r="C16" s="2" t="s">
        <v>154</v>
      </c>
      <c r="D16" s="2" t="s">
        <v>155</v>
      </c>
      <c r="E16" s="2" t="s">
        <v>163</v>
      </c>
      <c r="F16" s="2" t="s">
        <v>164</v>
      </c>
      <c r="G16" s="2" t="s">
        <v>165</v>
      </c>
      <c r="H16" s="2" t="s">
        <v>166</v>
      </c>
      <c r="I16" s="2" t="s">
        <v>167</v>
      </c>
    </row>
    <row r="17" spans="2:9" ht="21.95" customHeight="1" x14ac:dyDescent="0.25">
      <c r="B17" s="3" t="s">
        <v>88</v>
      </c>
      <c r="C17" s="4" t="str">
        <f>'Holding 1'!C7</f>
        <v>Crypto 1</v>
      </c>
      <c r="D17" s="5">
        <f>'Holding 1'!C8</f>
        <v>1000</v>
      </c>
      <c r="E17" s="40">
        <f>'Holding 1'!C19</f>
        <v>6.4038455500743998</v>
      </c>
      <c r="F17" s="41">
        <f>'Holding 1'!C20</f>
        <v>19871.508569717145</v>
      </c>
      <c r="G17" s="42">
        <f>'Holding 1'!C21</f>
        <v>18871.508569717145</v>
      </c>
      <c r="H17" s="43">
        <f>'Holding 1'!C22</f>
        <v>18.871508569717147</v>
      </c>
      <c r="I17" s="5">
        <f>'Holding 1'!C15</f>
        <v>0</v>
      </c>
    </row>
    <row r="18" spans="2:9" ht="21.95" customHeight="1" x14ac:dyDescent="0.25">
      <c r="B18" s="10" t="s">
        <v>91</v>
      </c>
      <c r="C18" s="11" t="str">
        <f>'Holding 2'!C7</f>
        <v>Crypto 2</v>
      </c>
      <c r="D18" s="12">
        <f>'Holding 2'!C8</f>
        <v>2500</v>
      </c>
      <c r="E18" s="44">
        <f>'Holding 2'!C19</f>
        <v>14.291321054733693</v>
      </c>
      <c r="F18" s="45">
        <f>'Holding 2'!C20</f>
        <v>39657.434742307603</v>
      </c>
      <c r="G18" s="46">
        <f>'Holding 2'!C21</f>
        <v>35957.434742307603</v>
      </c>
      <c r="H18" s="47">
        <f>'Holding 2'!C22</f>
        <v>14.862973896923041</v>
      </c>
      <c r="I18" s="12">
        <f>'Holding 2'!C15</f>
        <v>100</v>
      </c>
    </row>
    <row r="19" spans="2:9" ht="21.95" customHeight="1" x14ac:dyDescent="0.25">
      <c r="B19" s="89" t="s">
        <v>94</v>
      </c>
      <c r="C19" s="17" t="str">
        <f>'Holding 3'!C7</f>
        <v>Crypto3</v>
      </c>
      <c r="D19" s="18">
        <f>'Holding 3'!C8</f>
        <v>500</v>
      </c>
      <c r="E19" s="48">
        <f>'Holding 3'!C19</f>
        <v>1.0735683668508744</v>
      </c>
      <c r="F19" s="49">
        <f>'Holding 3'!C20</f>
        <v>1036.7841834254373</v>
      </c>
      <c r="G19" s="50">
        <f>'Holding 3'!C21</f>
        <v>536.78418342543728</v>
      </c>
      <c r="H19" s="51">
        <f>'Holding 3'!C22</f>
        <v>1.0735683668508746</v>
      </c>
      <c r="I19" s="18">
        <f>'Holding 3'!C15</f>
        <v>0</v>
      </c>
    </row>
    <row r="20" spans="2:9" ht="21.95" customHeight="1" x14ac:dyDescent="0.25">
      <c r="B20" s="23" t="s">
        <v>97</v>
      </c>
      <c r="C20" s="24" t="str">
        <f>'Holding 4'!C7</f>
        <v>Holding 4</v>
      </c>
      <c r="D20" s="25">
        <f>'Holding 4'!C8</f>
        <v>750</v>
      </c>
      <c r="E20" s="52">
        <f>'Holding 4'!C19</f>
        <v>1.9842867621081113</v>
      </c>
      <c r="F20" s="53">
        <f>'Holding 4'!C20</f>
        <v>2238.2150715810835</v>
      </c>
      <c r="G20" s="54">
        <f>'Holding 4'!C21</f>
        <v>1488.2150715810835</v>
      </c>
      <c r="H20" s="55">
        <f>'Holding 4'!C22</f>
        <v>1.9842867621081113</v>
      </c>
      <c r="I20" s="25">
        <f>'Holding 4'!C15</f>
        <v>0</v>
      </c>
    </row>
    <row r="21" spans="2:9" ht="21.95" customHeight="1" x14ac:dyDescent="0.25">
      <c r="B21" s="30" t="s">
        <v>100</v>
      </c>
      <c r="C21" s="31" t="str">
        <f>'Holding 5'!C7</f>
        <v>Holding 5</v>
      </c>
      <c r="D21" s="32">
        <f>'Holding 5'!C8</f>
        <v>7500</v>
      </c>
      <c r="E21" s="56">
        <f>'Holding 5'!C19</f>
        <v>6.4038455500743998</v>
      </c>
      <c r="F21" s="57">
        <f>'Holding 5'!C20</f>
        <v>157439.19157987766</v>
      </c>
      <c r="G21" s="58">
        <f>'Holding 5'!C21</f>
        <v>149939.19157987766</v>
      </c>
      <c r="H21" s="59">
        <f>'Holding 5'!C22</f>
        <v>19.991892210650356</v>
      </c>
      <c r="I21" s="32">
        <f>'Holding 5'!C15</f>
        <v>0</v>
      </c>
    </row>
    <row r="22" spans="2:9" ht="21.95" customHeight="1" x14ac:dyDescent="0.25">
      <c r="B22" s="37" t="s">
        <v>161</v>
      </c>
      <c r="C22" s="37"/>
      <c r="D22" s="38">
        <f>SUM(D17:D21)</f>
        <v>12250</v>
      </c>
      <c r="E22" s="39"/>
      <c r="F22" s="38">
        <f>SUM(F17:F21)</f>
        <v>220243.13414690894</v>
      </c>
      <c r="G22" s="38">
        <f>SUM(G17:G21)</f>
        <v>206793.13414690894</v>
      </c>
      <c r="H22" s="39"/>
      <c r="I22" s="39"/>
    </row>
    <row r="24" spans="2:9" ht="20.100000000000001" customHeight="1" x14ac:dyDescent="0.25">
      <c r="B24" s="111" t="s">
        <v>168</v>
      </c>
      <c r="C24" s="109"/>
      <c r="D24" s="109"/>
      <c r="E24" s="109"/>
      <c r="F24" s="109"/>
      <c r="G24" s="109"/>
      <c r="H24" s="109"/>
      <c r="I24" s="109"/>
    </row>
    <row r="25" spans="2:9" ht="21.95" customHeight="1" x14ac:dyDescent="0.25">
      <c r="B25" s="2" t="s">
        <v>153</v>
      </c>
      <c r="C25" s="2" t="s">
        <v>154</v>
      </c>
      <c r="D25" s="2" t="s">
        <v>155</v>
      </c>
      <c r="E25" s="2" t="s">
        <v>163</v>
      </c>
      <c r="F25" s="2" t="s">
        <v>164</v>
      </c>
      <c r="G25" s="2" t="s">
        <v>165</v>
      </c>
      <c r="H25" s="2" t="s">
        <v>166</v>
      </c>
      <c r="I25" s="2" t="s">
        <v>167</v>
      </c>
    </row>
    <row r="26" spans="2:9" ht="21.95" customHeight="1" x14ac:dyDescent="0.25">
      <c r="B26" s="3" t="s">
        <v>88</v>
      </c>
      <c r="C26" s="4" t="str">
        <f>'Holding 1'!C7</f>
        <v>Crypto 1</v>
      </c>
      <c r="D26" s="5">
        <f>'Holding 1'!C8</f>
        <v>1000</v>
      </c>
      <c r="E26" s="40">
        <f>'Holding 1'!C26</f>
        <v>0</v>
      </c>
      <c r="F26" s="41">
        <f>'Holding 1'!C27</f>
        <v>0</v>
      </c>
      <c r="G26" s="42">
        <f>'Holding 1'!C28</f>
        <v>75</v>
      </c>
      <c r="H26" s="43">
        <f>'Holding 1'!C29</f>
        <v>0</v>
      </c>
      <c r="I26" s="5">
        <f>'Holding 1'!C15</f>
        <v>0</v>
      </c>
    </row>
    <row r="27" spans="2:9" ht="21.95" customHeight="1" x14ac:dyDescent="0.25">
      <c r="B27" s="10" t="s">
        <v>91</v>
      </c>
      <c r="C27" s="11" t="str">
        <f>'Holding 2'!C7</f>
        <v>Crypto 2</v>
      </c>
      <c r="D27" s="12">
        <f>'Holding 2'!C8</f>
        <v>2500</v>
      </c>
      <c r="E27" s="44">
        <f>'Holding 2'!C26</f>
        <v>0</v>
      </c>
      <c r="F27" s="45">
        <f>'Holding 2'!C27</f>
        <v>0</v>
      </c>
      <c r="G27" s="46">
        <f>'Holding 2'!C28</f>
        <v>60</v>
      </c>
      <c r="H27" s="47">
        <f>'Holding 2'!C29</f>
        <v>0</v>
      </c>
      <c r="I27" s="12">
        <f>'Holding 2'!C15</f>
        <v>100</v>
      </c>
    </row>
    <row r="28" spans="2:9" ht="21.95" customHeight="1" x14ac:dyDescent="0.25">
      <c r="B28" s="89" t="s">
        <v>94</v>
      </c>
      <c r="C28" s="17" t="str">
        <f>'Holding 3'!C7</f>
        <v>Crypto3</v>
      </c>
      <c r="D28" s="18">
        <f>'Holding 3'!C8</f>
        <v>500</v>
      </c>
      <c r="E28" s="48">
        <f>'Holding 3'!C26</f>
        <v>0</v>
      </c>
      <c r="F28" s="49">
        <f>'Holding 3'!C27</f>
        <v>0</v>
      </c>
      <c r="G28" s="50">
        <f>'Holding 3'!C28</f>
        <v>60</v>
      </c>
      <c r="H28" s="51">
        <f>'Holding 3'!C29</f>
        <v>0</v>
      </c>
      <c r="I28" s="18">
        <f>'Holding 3'!C15</f>
        <v>0</v>
      </c>
    </row>
    <row r="29" spans="2:9" ht="21.95" customHeight="1" x14ac:dyDescent="0.25">
      <c r="B29" s="23" t="s">
        <v>97</v>
      </c>
      <c r="C29" s="24" t="str">
        <f>'Holding 4'!C7</f>
        <v>Holding 4</v>
      </c>
      <c r="D29" s="25">
        <f>'Holding 4'!C8</f>
        <v>750</v>
      </c>
      <c r="E29" s="52">
        <f>'Holding 4'!C26</f>
        <v>0</v>
      </c>
      <c r="F29" s="53">
        <f>'Holding 4'!C27</f>
        <v>0</v>
      </c>
      <c r="G29" s="54">
        <f>'Holding 4'!C28</f>
        <v>60</v>
      </c>
      <c r="H29" s="55">
        <f>'Holding 4'!C29</f>
        <v>0</v>
      </c>
      <c r="I29" s="25">
        <f>'Holding 4'!C15</f>
        <v>0</v>
      </c>
    </row>
    <row r="30" spans="2:9" ht="21.95" customHeight="1" x14ac:dyDescent="0.25">
      <c r="B30" s="30" t="s">
        <v>100</v>
      </c>
      <c r="C30" s="31" t="str">
        <f>'Holding 5'!C7</f>
        <v>Holding 5</v>
      </c>
      <c r="D30" s="32">
        <f>'Holding 5'!C8</f>
        <v>7500</v>
      </c>
      <c r="E30" s="56">
        <f>'Holding 5'!C26</f>
        <v>0</v>
      </c>
      <c r="F30" s="57">
        <f>'Holding 5'!C27</f>
        <v>0</v>
      </c>
      <c r="G30" s="58">
        <f>'Holding 5'!C28</f>
        <v>180</v>
      </c>
      <c r="H30" s="59">
        <f>'Holding 5'!C29</f>
        <v>0</v>
      </c>
      <c r="I30" s="32">
        <f>'Holding 5'!C15</f>
        <v>0</v>
      </c>
    </row>
    <row r="31" spans="2:9" ht="21.95" customHeight="1" x14ac:dyDescent="0.25">
      <c r="B31" s="37" t="s">
        <v>161</v>
      </c>
      <c r="C31" s="37"/>
      <c r="D31" s="38">
        <f>SUM(D26:D30)</f>
        <v>12250</v>
      </c>
      <c r="E31" s="39"/>
      <c r="F31" s="38">
        <f>SUM(F26:F30)</f>
        <v>0</v>
      </c>
      <c r="G31" s="38">
        <f>SUM(G26:G30)</f>
        <v>435</v>
      </c>
      <c r="H31" s="39"/>
      <c r="I31" s="39"/>
    </row>
    <row r="33" spans="2:9" ht="20.100000000000001" customHeight="1" x14ac:dyDescent="0.25">
      <c r="B33" s="111" t="s">
        <v>169</v>
      </c>
      <c r="C33" s="109"/>
      <c r="D33" s="109"/>
      <c r="E33" s="109"/>
      <c r="F33" s="109"/>
      <c r="G33" s="109"/>
      <c r="H33" s="109"/>
      <c r="I33" s="109"/>
    </row>
    <row r="34" spans="2:9" ht="21.95" customHeight="1" x14ac:dyDescent="0.25">
      <c r="B34" s="2" t="s">
        <v>153</v>
      </c>
      <c r="C34" s="2" t="s">
        <v>154</v>
      </c>
      <c r="D34" s="2" t="s">
        <v>155</v>
      </c>
      <c r="E34" s="2" t="s">
        <v>163</v>
      </c>
      <c r="F34" s="2" t="s">
        <v>164</v>
      </c>
      <c r="G34" s="2" t="s">
        <v>165</v>
      </c>
      <c r="H34" s="2" t="s">
        <v>166</v>
      </c>
      <c r="I34" s="2" t="s">
        <v>167</v>
      </c>
    </row>
    <row r="35" spans="2:9" ht="21.95" customHeight="1" x14ac:dyDescent="0.25">
      <c r="B35" s="3" t="s">
        <v>88</v>
      </c>
      <c r="C35" s="4" t="str">
        <f>'Holding 1'!C7</f>
        <v>Crypto 1</v>
      </c>
      <c r="D35" s="5">
        <f>'Holding 1'!C8</f>
        <v>1000</v>
      </c>
      <c r="E35" s="40">
        <f>'Holding 1'!C11</f>
        <v>2.0074999999999998</v>
      </c>
      <c r="F35" s="41">
        <f>'Holding 1'!C33</f>
        <v>0</v>
      </c>
      <c r="G35" s="42">
        <f>'Holding 1'!C34</f>
        <v>0</v>
      </c>
      <c r="H35" s="43">
        <f>'Holding 1'!C35</f>
        <v>0</v>
      </c>
      <c r="I35" s="5">
        <f>'Holding 1'!C15</f>
        <v>0</v>
      </c>
    </row>
    <row r="36" spans="2:9" ht="21.95" customHeight="1" x14ac:dyDescent="0.25">
      <c r="B36" s="10" t="s">
        <v>91</v>
      </c>
      <c r="C36" s="11" t="str">
        <f>'Holding 2'!C7</f>
        <v>Crypto 2</v>
      </c>
      <c r="D36" s="12">
        <f>'Holding 2'!C8</f>
        <v>2500</v>
      </c>
      <c r="E36" s="44">
        <f>'Holding 2'!C11</f>
        <v>0.2</v>
      </c>
      <c r="F36" s="45">
        <f>'Holding 2'!C33</f>
        <v>0</v>
      </c>
      <c r="G36" s="46">
        <f>'Holding 2'!C34</f>
        <v>0</v>
      </c>
      <c r="H36" s="47">
        <f>'Holding 2'!C35</f>
        <v>0</v>
      </c>
      <c r="I36" s="12">
        <f>'Holding 2'!C15</f>
        <v>100</v>
      </c>
    </row>
    <row r="37" spans="2:9" ht="21.95" customHeight="1" x14ac:dyDescent="0.25">
      <c r="B37" s="89" t="s">
        <v>94</v>
      </c>
      <c r="C37" s="17" t="str">
        <f>'Holding 3'!C7</f>
        <v>Crypto3</v>
      </c>
      <c r="D37" s="18">
        <f>'Holding 3'!C8</f>
        <v>500</v>
      </c>
      <c r="E37" s="48">
        <f>'Holding 3'!C11</f>
        <v>0.2</v>
      </c>
      <c r="F37" s="49">
        <f>'Holding 3'!C33</f>
        <v>0</v>
      </c>
      <c r="G37" s="50">
        <f>'Holding 3'!C34</f>
        <v>0</v>
      </c>
      <c r="H37" s="51">
        <f>'Holding 3'!C35</f>
        <v>0</v>
      </c>
      <c r="I37" s="18">
        <f>'Holding 3'!C15</f>
        <v>0</v>
      </c>
    </row>
    <row r="38" spans="2:9" ht="21.95" customHeight="1" x14ac:dyDescent="0.25">
      <c r="B38" s="23" t="s">
        <v>97</v>
      </c>
      <c r="C38" s="24" t="str">
        <f>'Holding 4'!C7</f>
        <v>Holding 4</v>
      </c>
      <c r="D38" s="25">
        <f>'Holding 4'!C8</f>
        <v>750</v>
      </c>
      <c r="E38" s="52">
        <f>'Holding 4'!C11</f>
        <v>0.2</v>
      </c>
      <c r="F38" s="53">
        <f>'Holding 4'!C33</f>
        <v>0</v>
      </c>
      <c r="G38" s="54">
        <f>'Holding 4'!C34</f>
        <v>0</v>
      </c>
      <c r="H38" s="55">
        <f>'Holding 4'!C35</f>
        <v>0</v>
      </c>
      <c r="I38" s="25">
        <f>'Holding 4'!C15</f>
        <v>0</v>
      </c>
    </row>
    <row r="39" spans="2:9" ht="21.95" customHeight="1" x14ac:dyDescent="0.25">
      <c r="B39" s="30" t="s">
        <v>100</v>
      </c>
      <c r="C39" s="31" t="str">
        <f>'Holding 5'!C7</f>
        <v>Holding 5</v>
      </c>
      <c r="D39" s="32">
        <f>'Holding 5'!C8</f>
        <v>7500</v>
      </c>
      <c r="E39" s="56">
        <f>'Holding 5'!C11</f>
        <v>0</v>
      </c>
      <c r="F39" s="57">
        <f>'Holding 5'!C33</f>
        <v>0</v>
      </c>
      <c r="G39" s="58">
        <f>'Holding 5'!C34</f>
        <v>0</v>
      </c>
      <c r="H39" s="59">
        <f>'Holding 5'!C35</f>
        <v>0</v>
      </c>
      <c r="I39" s="32">
        <f>'Holding 5'!C15</f>
        <v>0</v>
      </c>
    </row>
    <row r="40" spans="2:9" ht="21.95" customHeight="1" x14ac:dyDescent="0.25">
      <c r="B40" s="37" t="s">
        <v>161</v>
      </c>
      <c r="C40" s="37"/>
      <c r="D40" s="38">
        <f>SUM(D35:D39)</f>
        <v>12250</v>
      </c>
      <c r="E40" s="39"/>
      <c r="F40" s="38">
        <f>SUM(F35:F39)</f>
        <v>0</v>
      </c>
      <c r="G40" s="38">
        <f>SUM(G35:G39)</f>
        <v>0</v>
      </c>
      <c r="H40" s="39"/>
      <c r="I40" s="39"/>
    </row>
    <row r="42" spans="2:9" ht="20.100000000000001" customHeight="1" x14ac:dyDescent="0.25">
      <c r="B42" s="111" t="s">
        <v>170</v>
      </c>
      <c r="C42" s="109"/>
      <c r="D42" s="109"/>
      <c r="E42" s="109"/>
      <c r="F42" s="109"/>
      <c r="G42" s="109"/>
      <c r="H42" s="109"/>
      <c r="I42" s="109"/>
    </row>
    <row r="43" spans="2:9" ht="24" customHeight="1" x14ac:dyDescent="0.25">
      <c r="B43" s="60" t="s">
        <v>171</v>
      </c>
      <c r="C43" s="134">
        <f>SUM(D8:D12)</f>
        <v>12250</v>
      </c>
      <c r="D43" s="126"/>
      <c r="E43" s="127"/>
    </row>
    <row r="44" spans="2:9" ht="24" customHeight="1" x14ac:dyDescent="0.25">
      <c r="B44" s="60" t="s">
        <v>172</v>
      </c>
      <c r="C44" s="134">
        <f>SUM(F17:F21)</f>
        <v>220243.13414690894</v>
      </c>
      <c r="D44" s="126"/>
      <c r="E44" s="127"/>
    </row>
    <row r="45" spans="2:9" ht="24" customHeight="1" x14ac:dyDescent="0.25">
      <c r="B45" s="60" t="s">
        <v>173</v>
      </c>
      <c r="C45" s="135">
        <f>SUM(G17:G21)</f>
        <v>206793.13414690894</v>
      </c>
      <c r="D45" s="126"/>
      <c r="E45" s="127"/>
    </row>
    <row r="46" spans="2:9" ht="24" customHeight="1" x14ac:dyDescent="0.25">
      <c r="B46" s="60" t="s">
        <v>174</v>
      </c>
      <c r="C46" s="134">
        <f>SUM(F26:F30)</f>
        <v>0</v>
      </c>
      <c r="D46" s="126"/>
      <c r="E46" s="127"/>
    </row>
    <row r="47" spans="2:9" ht="24" customHeight="1" x14ac:dyDescent="0.25">
      <c r="B47" s="60" t="s">
        <v>175</v>
      </c>
      <c r="C47" s="135">
        <f>SUM(G26:G30)</f>
        <v>435</v>
      </c>
      <c r="D47" s="126"/>
      <c r="E47" s="127"/>
    </row>
    <row r="48" spans="2:9" ht="24" customHeight="1" x14ac:dyDescent="0.25">
      <c r="B48" s="60" t="s">
        <v>176</v>
      </c>
      <c r="C48" s="134">
        <f>SUM(F35:F39)</f>
        <v>0</v>
      </c>
      <c r="D48" s="126"/>
      <c r="E48" s="127"/>
    </row>
    <row r="49" spans="2:9" ht="24" customHeight="1" x14ac:dyDescent="0.25">
      <c r="B49" s="60" t="s">
        <v>177</v>
      </c>
      <c r="C49" s="136">
        <f>SUM(I8:I12)</f>
        <v>100</v>
      </c>
      <c r="D49" s="126"/>
      <c r="E49" s="127"/>
    </row>
    <row r="52" spans="2:9" ht="110.1" customHeight="1" x14ac:dyDescent="0.25">
      <c r="B52" s="120" t="s">
        <v>75</v>
      </c>
      <c r="C52" s="121"/>
      <c r="D52" s="121"/>
      <c r="E52" s="121"/>
      <c r="F52" s="121"/>
      <c r="G52" s="121"/>
      <c r="H52" s="121"/>
      <c r="I52" s="122"/>
    </row>
  </sheetData>
  <mergeCells count="16">
    <mergeCell ref="A1:I1"/>
    <mergeCell ref="C49:E49"/>
    <mergeCell ref="C48:E48"/>
    <mergeCell ref="B42:I42"/>
    <mergeCell ref="C43:E43"/>
    <mergeCell ref="B4:I4"/>
    <mergeCell ref="C46:E46"/>
    <mergeCell ref="C47:E47"/>
    <mergeCell ref="B52:I52"/>
    <mergeCell ref="A2:I2"/>
    <mergeCell ref="C44:E44"/>
    <mergeCell ref="B15:I15"/>
    <mergeCell ref="B33:I33"/>
    <mergeCell ref="B6:I6"/>
    <mergeCell ref="B24:I24"/>
    <mergeCell ref="C45:E45"/>
  </mergeCells>
  <hyperlinks>
    <hyperlink ref="A2" r:id="rId1" xr:uid="{00000000-0004-0000-0100-000000000000}"/>
  </hyperlinks>
  <pageMargins left="0.75" right="0.75" top="1" bottom="1" header="0.5" footer="0.5"/>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4"/>
  <sheetViews>
    <sheetView topLeftCell="A4" workbookViewId="0">
      <selection activeCell="C8" sqref="C8"/>
    </sheetView>
  </sheetViews>
  <sheetFormatPr defaultRowHeight="15" x14ac:dyDescent="0.25"/>
  <cols>
    <col min="1" max="1" width="1" customWidth="1"/>
    <col min="2" max="2" width="39" customWidth="1"/>
    <col min="3" max="3" width="20" customWidth="1"/>
    <col min="4" max="4" width="63.85546875" customWidth="1"/>
    <col min="5" max="5" width="25" customWidth="1"/>
    <col min="6" max="6" width="17.28515625" customWidth="1"/>
    <col min="7" max="7" width="16.85546875" customWidth="1"/>
    <col min="8" max="8" width="1" customWidth="1"/>
  </cols>
  <sheetData>
    <row r="1" spans="1:7" ht="36" customHeight="1" x14ac:dyDescent="0.25">
      <c r="A1" s="117" t="s">
        <v>178</v>
      </c>
      <c r="B1" s="109"/>
      <c r="C1" s="109"/>
      <c r="D1" s="109"/>
      <c r="E1" s="109"/>
      <c r="F1" s="109"/>
      <c r="G1" s="109"/>
    </row>
    <row r="2" spans="1:7" ht="15.95" customHeight="1" x14ac:dyDescent="0.25">
      <c r="A2" s="124" t="s">
        <v>1</v>
      </c>
      <c r="B2" s="109"/>
      <c r="C2" s="109"/>
      <c r="D2" s="109"/>
      <c r="E2" s="109"/>
      <c r="F2" s="109"/>
      <c r="G2" s="109"/>
    </row>
    <row r="4" spans="1:7" ht="24" customHeight="1" x14ac:dyDescent="0.25">
      <c r="B4" s="139" t="s">
        <v>179</v>
      </c>
      <c r="C4" s="109"/>
      <c r="D4" s="109"/>
      <c r="E4" s="109"/>
      <c r="F4" s="109"/>
      <c r="G4" s="109"/>
    </row>
    <row r="6" spans="1:7" ht="20.100000000000001" customHeight="1" x14ac:dyDescent="0.25">
      <c r="B6" s="111" t="s">
        <v>3</v>
      </c>
      <c r="C6" s="109"/>
      <c r="D6" s="109"/>
      <c r="E6" s="109"/>
    </row>
    <row r="7" spans="1:7" ht="24" customHeight="1" x14ac:dyDescent="0.25">
      <c r="B7" s="64" t="s">
        <v>4</v>
      </c>
      <c r="C7" s="65" t="s">
        <v>180</v>
      </c>
      <c r="D7" s="110"/>
      <c r="E7" s="109"/>
    </row>
    <row r="8" spans="1:7" ht="24" customHeight="1" x14ac:dyDescent="0.25">
      <c r="B8" s="64" t="s">
        <v>6</v>
      </c>
      <c r="C8" s="67">
        <v>1000</v>
      </c>
      <c r="D8" s="110" t="s">
        <v>7</v>
      </c>
      <c r="E8" s="109"/>
    </row>
    <row r="9" spans="1:7" ht="24" customHeight="1" x14ac:dyDescent="0.25">
      <c r="B9" s="64" t="s">
        <v>8</v>
      </c>
      <c r="C9" s="90">
        <v>5.4999999999999997E-3</v>
      </c>
      <c r="D9" s="108" t="str">
        <f>TEXT(C9*100,"0.000")&amp;"% daily (enter decimal: 0.35% = 0.0035)"</f>
        <v>0.550% daily (enter decimal: 0.35% = 0.0035)</v>
      </c>
      <c r="E9" s="109"/>
    </row>
    <row r="10" spans="1:7" ht="24" customHeight="1" x14ac:dyDescent="0.25">
      <c r="B10" s="64" t="s">
        <v>9</v>
      </c>
      <c r="C10" s="91">
        <f>C9*30</f>
        <v>0.16499999999999998</v>
      </c>
      <c r="D10" s="108" t="str">
        <f>TEXT(C10*100,"0.00")&amp;"% monthly (enter decimal: 5% = 0.05)"</f>
        <v>16.50% monthly (enter decimal: 5% = 0.05)</v>
      </c>
      <c r="E10" s="109"/>
    </row>
    <row r="11" spans="1:7" ht="24" customHeight="1" x14ac:dyDescent="0.25">
      <c r="B11" s="64" t="s">
        <v>10</v>
      </c>
      <c r="C11" s="91">
        <f>C9*365</f>
        <v>2.0074999999999998</v>
      </c>
      <c r="D11" s="108" t="str">
        <f>TEXT(C11*100,"0.00")&amp;"% annually (enter decimal: 20% = 0.20)"</f>
        <v>200.75% annually (enter decimal: 20% = 0.20)</v>
      </c>
      <c r="E11" s="109"/>
    </row>
    <row r="12" spans="1:7" ht="24" customHeight="1" x14ac:dyDescent="0.25">
      <c r="B12" s="64" t="s">
        <v>11</v>
      </c>
      <c r="C12" s="103">
        <f>C13/12</f>
        <v>0.5</v>
      </c>
      <c r="D12" s="110"/>
      <c r="E12" s="109"/>
    </row>
    <row r="13" spans="1:7" ht="24" customHeight="1" x14ac:dyDescent="0.25">
      <c r="B13" s="64" t="s">
        <v>12</v>
      </c>
      <c r="C13" s="68">
        <v>6</v>
      </c>
      <c r="D13" s="110" t="s">
        <v>13</v>
      </c>
      <c r="E13" s="109"/>
    </row>
    <row r="14" spans="1:7" ht="24" customHeight="1" x14ac:dyDescent="0.25">
      <c r="B14" s="64" t="s">
        <v>14</v>
      </c>
      <c r="C14" s="68">
        <f>C12*365</f>
        <v>182.5</v>
      </c>
      <c r="D14" s="110" t="s">
        <v>15</v>
      </c>
      <c r="E14" s="109"/>
    </row>
    <row r="15" spans="1:7" ht="24" customHeight="1" x14ac:dyDescent="0.25">
      <c r="B15" s="64" t="s">
        <v>16</v>
      </c>
      <c r="C15" s="67">
        <v>0</v>
      </c>
      <c r="D15" s="110" t="s">
        <v>17</v>
      </c>
      <c r="E15" s="109"/>
    </row>
    <row r="17" spans="1:6" ht="20.100000000000001" customHeight="1" x14ac:dyDescent="0.25">
      <c r="B17" s="138" t="s">
        <v>18</v>
      </c>
      <c r="C17" s="109"/>
      <c r="D17" s="109"/>
      <c r="E17" s="109"/>
    </row>
    <row r="18" spans="1:6" ht="21.95" customHeight="1" x14ac:dyDescent="0.25">
      <c r="B18" s="64" t="s">
        <v>19</v>
      </c>
      <c r="C18" s="70">
        <f>C12*365+C13*30+C14</f>
        <v>545</v>
      </c>
    </row>
    <row r="19" spans="1:6" ht="21.95" customHeight="1" x14ac:dyDescent="0.25">
      <c r="B19" s="60" t="s">
        <v>20</v>
      </c>
      <c r="C19" s="71">
        <f>IF(C9&gt;0,(1+C9)^365-1,0)</f>
        <v>6.4038455500743998</v>
      </c>
    </row>
    <row r="20" spans="1:6" ht="21.95" customHeight="1" x14ac:dyDescent="0.25">
      <c r="B20" s="60" t="s">
        <v>21</v>
      </c>
      <c r="C20" s="61">
        <f>IF(C15&gt;0,C8*(1+C9)^C18+C15*((1+C9)^C18-1)/((1+C9)^30-1)*((1+C9)^30-1),C8*(1+C9)^C18)</f>
        <v>19871.508569717145</v>
      </c>
    </row>
    <row r="21" spans="1:6" ht="21.95" customHeight="1" x14ac:dyDescent="0.25">
      <c r="B21" s="60" t="s">
        <v>22</v>
      </c>
      <c r="C21" s="62">
        <f>IF(C20&gt;0,C20-C8-C15*MAX(0,INT(C18/30)),0)</f>
        <v>18871.508569717145</v>
      </c>
    </row>
    <row r="22" spans="1:6" ht="21.95" customHeight="1" x14ac:dyDescent="0.25">
      <c r="B22" s="60" t="s">
        <v>23</v>
      </c>
      <c r="C22" s="72">
        <f>IF(C8&gt;0,(C20-C8)/C8,0)</f>
        <v>18.871508569717147</v>
      </c>
    </row>
    <row r="24" spans="1:6" ht="20.100000000000001" customHeight="1" x14ac:dyDescent="0.25">
      <c r="B24" s="138" t="s">
        <v>24</v>
      </c>
      <c r="C24" s="109"/>
      <c r="D24" s="109"/>
      <c r="E24" s="109"/>
    </row>
    <row r="25" spans="1:6" ht="21.95" customHeight="1" x14ac:dyDescent="0.25">
      <c r="B25" s="64" t="s">
        <v>25</v>
      </c>
      <c r="C25" s="70">
        <f>C12*12+C13+ROUND(C14/30,0)</f>
        <v>18</v>
      </c>
    </row>
    <row r="26" spans="1:6" ht="20.100000000000001" customHeight="1" x14ac:dyDescent="0.25">
      <c r="B26" s="111" t="s">
        <v>26</v>
      </c>
      <c r="C26" s="109"/>
      <c r="D26" s="109"/>
      <c r="E26" s="109"/>
    </row>
    <row r="27" spans="1:6" ht="18" customHeight="1" x14ac:dyDescent="0.25">
      <c r="B27" s="116" t="s">
        <v>27</v>
      </c>
      <c r="C27" s="109"/>
      <c r="D27" s="109"/>
      <c r="E27" s="109"/>
    </row>
    <row r="28" spans="1:6" ht="24" customHeight="1" x14ac:dyDescent="0.25">
      <c r="B28" s="64" t="s">
        <v>28</v>
      </c>
      <c r="C28" s="68">
        <v>75</v>
      </c>
      <c r="D28" s="110" t="s">
        <v>29</v>
      </c>
      <c r="E28" s="109"/>
    </row>
    <row r="29" spans="1:6" ht="6" hidden="1" customHeight="1" x14ac:dyDescent="0.25">
      <c r="A29" s="86"/>
      <c r="B29" s="86"/>
      <c r="C29" s="86"/>
      <c r="D29" s="86"/>
      <c r="E29" s="86"/>
      <c r="F29" s="86"/>
    </row>
    <row r="30" spans="1:6" ht="21.95" customHeight="1" x14ac:dyDescent="0.25">
      <c r="B30" s="112" t="s">
        <v>30</v>
      </c>
      <c r="C30" s="109"/>
      <c r="D30" s="109"/>
      <c r="E30" s="109"/>
    </row>
    <row r="31" spans="1:6" ht="21.95" customHeight="1" x14ac:dyDescent="0.25">
      <c r="B31" s="114" t="s">
        <v>31</v>
      </c>
      <c r="C31" s="115"/>
      <c r="D31" s="115"/>
      <c r="E31" s="115"/>
    </row>
    <row r="32" spans="1:6" ht="21.95" customHeight="1" x14ac:dyDescent="0.25">
      <c r="B32" s="64" t="s">
        <v>32</v>
      </c>
      <c r="C32" s="87">
        <f>IF(ISNUMBER(C5*(1+C6)^C28),(C5*(1+C6)^C28)*C6,"")</f>
        <v>0</v>
      </c>
      <c r="D32" s="110" t="s">
        <v>33</v>
      </c>
      <c r="E32" s="109"/>
    </row>
    <row r="33" spans="1:6" ht="21.95" customHeight="1" x14ac:dyDescent="0.25">
      <c r="B33" s="64" t="s">
        <v>34</v>
      </c>
      <c r="C33" s="87">
        <f>IF(ISNUMBER(C5*(1+C6)^C28),(C5*(1+C6)^C28)*((1+C6)^7-1),"")</f>
        <v>0</v>
      </c>
      <c r="D33" s="110" t="s">
        <v>35</v>
      </c>
      <c r="E33" s="109"/>
    </row>
    <row r="34" spans="1:6" ht="21.95" customHeight="1" x14ac:dyDescent="0.25">
      <c r="B34" s="60" t="s">
        <v>36</v>
      </c>
      <c r="C34" s="62">
        <f>IF(ISNUMBER(C5*(1+C6)^C28),(C5*(1+C6)^C28)*((1+C6)^30-1),"")</f>
        <v>0</v>
      </c>
      <c r="D34" s="110" t="s">
        <v>37</v>
      </c>
      <c r="E34" s="109"/>
    </row>
    <row r="35" spans="1:6" ht="21.95" customHeight="1" x14ac:dyDescent="0.25">
      <c r="B35" s="60" t="s">
        <v>38</v>
      </c>
      <c r="C35" s="63">
        <f>IF(ISNUMBER(C5*(1+C6)^C28),(C5*(1+C6)^C28)*((1+C6)^365-1),"")</f>
        <v>0</v>
      </c>
      <c r="D35" s="110" t="s">
        <v>39</v>
      </c>
      <c r="E35" s="109"/>
    </row>
    <row r="36" spans="1:6" ht="21.95" customHeight="1" x14ac:dyDescent="0.25">
      <c r="B36" s="64" t="s">
        <v>40</v>
      </c>
      <c r="C36" s="88">
        <f>IF(C6&gt;0,(1+C6)^365-1,0)</f>
        <v>0</v>
      </c>
      <c r="D36" s="110" t="s">
        <v>41</v>
      </c>
      <c r="E36" s="109"/>
    </row>
    <row r="37" spans="1:6" ht="12" hidden="1" customHeight="1" x14ac:dyDescent="0.25">
      <c r="A37" s="86"/>
      <c r="B37" s="118"/>
      <c r="C37" s="109"/>
      <c r="D37" s="109"/>
      <c r="E37" s="109"/>
      <c r="F37" s="109"/>
    </row>
    <row r="38" spans="1:6" ht="44.1" customHeight="1" x14ac:dyDescent="0.25">
      <c r="B38" s="123" t="s">
        <v>42</v>
      </c>
      <c r="C38" s="121"/>
      <c r="D38" s="121"/>
      <c r="E38" s="122"/>
    </row>
    <row r="39" spans="1:6" ht="24" customHeight="1" x14ac:dyDescent="0.25">
      <c r="D39" s="109"/>
      <c r="E39" s="109"/>
    </row>
    <row r="40" spans="1:6" ht="24" hidden="1" customHeight="1" x14ac:dyDescent="0.25">
      <c r="D40" s="109"/>
      <c r="E40" s="109"/>
    </row>
    <row r="41" spans="1:6" hidden="1" x14ac:dyDescent="0.25"/>
    <row r="42" spans="1:6" ht="20.100000000000001" hidden="1" customHeight="1" x14ac:dyDescent="0.25">
      <c r="B42" s="109"/>
      <c r="C42" s="109"/>
      <c r="D42" s="109"/>
      <c r="E42" s="109"/>
      <c r="F42" s="109"/>
    </row>
    <row r="43" spans="1:6" ht="21.95" hidden="1" customHeight="1" x14ac:dyDescent="0.25"/>
    <row r="44" spans="1:6" ht="21.95" customHeight="1" x14ac:dyDescent="0.25">
      <c r="B44" s="60" t="s">
        <v>43</v>
      </c>
      <c r="C44" s="71">
        <f>IF(C10&gt;0,(1+C10)^12-1,0)</f>
        <v>5.2504473939099974</v>
      </c>
    </row>
    <row r="45" spans="1:6" ht="21.95" customHeight="1" x14ac:dyDescent="0.25">
      <c r="B45" s="60" t="s">
        <v>44</v>
      </c>
      <c r="C45" s="61">
        <f>IF(C15&gt;0,C8*(1+C10)^C25+C15*((1+C10)^C25-1)/C10,C8*(1+C10)^C25)</f>
        <v>15626.677757186329</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69" t="s">
        <v>47</v>
      </c>
    </row>
    <row r="50" spans="2:7" ht="15.75" customHeight="1" x14ac:dyDescent="0.25">
      <c r="B50" s="64" t="s">
        <v>48</v>
      </c>
      <c r="C50" s="73">
        <f>C11</f>
        <v>2.0074999999999998</v>
      </c>
    </row>
    <row r="51" spans="2:7" ht="20.100000000000001" customHeight="1" x14ac:dyDescent="0.25">
      <c r="B51" s="114" t="s">
        <v>49</v>
      </c>
      <c r="C51" s="115"/>
      <c r="D51" s="115"/>
      <c r="E51" s="115"/>
      <c r="F51" s="115"/>
      <c r="G51" s="115"/>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36.75" customHeight="1" x14ac:dyDescent="0.25">
      <c r="B55" s="74" t="s">
        <v>52</v>
      </c>
    </row>
    <row r="56" spans="2:7" ht="20.100000000000001" customHeight="1" x14ac:dyDescent="0.25">
      <c r="B56" s="64" t="s">
        <v>53</v>
      </c>
      <c r="C56" s="75"/>
      <c r="D56" s="66" t="s">
        <v>54</v>
      </c>
    </row>
    <row r="57" spans="2:7" ht="20.100000000000001" customHeight="1" x14ac:dyDescent="0.25">
      <c r="B57" s="64" t="s">
        <v>55</v>
      </c>
      <c r="C57" s="67"/>
      <c r="D57" s="66" t="s">
        <v>56</v>
      </c>
    </row>
    <row r="58" spans="2:7" ht="20.100000000000001" customHeight="1" x14ac:dyDescent="0.25">
      <c r="B58" s="64" t="s">
        <v>57</v>
      </c>
      <c r="C58" s="65" t="s">
        <v>181</v>
      </c>
      <c r="D58" s="66" t="s">
        <v>59</v>
      </c>
    </row>
    <row r="59" spans="2:7" ht="20.100000000000001" customHeight="1" x14ac:dyDescent="0.25"/>
    <row r="60" spans="2:7" ht="43.5"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2.8877460666504984E-2</v>
      </c>
    </row>
    <row r="64" spans="2:7" ht="20.100000000000001" customHeight="1" x14ac:dyDescent="0.25">
      <c r="B64" s="60" t="s">
        <v>64</v>
      </c>
      <c r="C64" s="62">
        <f>IF(ISNUMBER(C44),C44*((1+C9)^30-1),"")</f>
        <v>0.93909525057773913</v>
      </c>
    </row>
    <row r="65" spans="2:7" ht="31.5" customHeight="1" x14ac:dyDescent="0.25">
      <c r="B65" s="64" t="s">
        <v>65</v>
      </c>
      <c r="C65" s="77">
        <f>IF(ISNUMBER(C44),C44*((1+C9)^365-1),"")</f>
        <v>33.623054179390266</v>
      </c>
    </row>
    <row r="66" spans="2:7" ht="110.1" customHeight="1" x14ac:dyDescent="0.25">
      <c r="B66" s="114" t="s">
        <v>66</v>
      </c>
      <c r="C66" s="115"/>
      <c r="D66" s="115"/>
      <c r="E66" s="115"/>
      <c r="F66" s="115"/>
      <c r="G66" s="115"/>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1000</v>
      </c>
      <c r="D71" s="104">
        <f>IF(ISNUMBER(C71),C71*((1+C9)^30-1),0)</f>
        <v>178.86004374922359</v>
      </c>
      <c r="E71" s="79">
        <f>0</f>
        <v>0</v>
      </c>
      <c r="F71" s="105">
        <f t="shared" ref="F71:F82" si="0">C71+D71+E71</f>
        <v>1178.8600437492237</v>
      </c>
      <c r="G71" s="104">
        <f>D71</f>
        <v>178.86004374922359</v>
      </c>
    </row>
    <row r="72" spans="2:7" x14ac:dyDescent="0.25">
      <c r="B72" s="80">
        <v>2</v>
      </c>
      <c r="C72" s="81">
        <f t="shared" ref="C72:C82" si="1">F71</f>
        <v>1178.8600437492237</v>
      </c>
      <c r="D72" s="106">
        <f>IF(ISNUMBER(C72),C72*((1+C9)^30-1),0)</f>
        <v>210.85095899919779</v>
      </c>
      <c r="E72" s="81">
        <f>IF(C15&gt;0,C15,0)</f>
        <v>0</v>
      </c>
      <c r="F72" s="107">
        <f t="shared" si="0"/>
        <v>1389.7110027484214</v>
      </c>
      <c r="G72" s="106">
        <f t="shared" ref="G72:G82" si="2">G71+D72</f>
        <v>389.71100274842138</v>
      </c>
    </row>
    <row r="73" spans="2:7" x14ac:dyDescent="0.25">
      <c r="B73" s="78">
        <v>3</v>
      </c>
      <c r="C73" s="79">
        <f t="shared" si="1"/>
        <v>1389.7110027484214</v>
      </c>
      <c r="D73" s="104">
        <f>IF(ISNUMBER(C73),C73*((1+C9)^30-1),0)</f>
        <v>248.56377075036005</v>
      </c>
      <c r="E73" s="79">
        <f>IF(C15&gt;0,C15,0)</f>
        <v>0</v>
      </c>
      <c r="F73" s="105">
        <f t="shared" si="0"/>
        <v>1638.2747734987815</v>
      </c>
      <c r="G73" s="104">
        <f t="shared" si="2"/>
        <v>638.27477349878143</v>
      </c>
    </row>
    <row r="74" spans="2:7" x14ac:dyDescent="0.25">
      <c r="B74" s="80">
        <v>4</v>
      </c>
      <c r="C74" s="81">
        <f t="shared" si="1"/>
        <v>1638.2747734987815</v>
      </c>
      <c r="D74" s="106">
        <f>IF(ISNUMBER(C74),C74*((1+C9)^30-1),0)</f>
        <v>293.02189766124144</v>
      </c>
      <c r="E74" s="81">
        <f>IF(C15&gt;0,C15,0)</f>
        <v>0</v>
      </c>
      <c r="F74" s="107">
        <f t="shared" si="0"/>
        <v>1931.2966711600229</v>
      </c>
      <c r="G74" s="106">
        <f t="shared" si="2"/>
        <v>931.29667116002292</v>
      </c>
    </row>
    <row r="75" spans="2:7" x14ac:dyDescent="0.25">
      <c r="B75" s="78">
        <v>5</v>
      </c>
      <c r="C75" s="79">
        <f t="shared" si="1"/>
        <v>1931.2966711600229</v>
      </c>
      <c r="D75" s="104">
        <f>IF(ISNUMBER(C75),C75*((1+C9)^30-1),0)</f>
        <v>345.4318070964116</v>
      </c>
      <c r="E75" s="79">
        <f>IF(C15&gt;0,C15,0)</f>
        <v>0</v>
      </c>
      <c r="F75" s="105">
        <f t="shared" si="0"/>
        <v>2276.7284782564348</v>
      </c>
      <c r="G75" s="104">
        <f t="shared" si="2"/>
        <v>1276.7284782564345</v>
      </c>
    </row>
    <row r="76" spans="2:7" x14ac:dyDescent="0.25">
      <c r="B76" s="80">
        <v>6</v>
      </c>
      <c r="C76" s="81">
        <f t="shared" si="1"/>
        <v>2276.7284782564348</v>
      </c>
      <c r="D76" s="106">
        <f>IF(ISNUMBER(C76),C76*((1+C9)^30-1),0)</f>
        <v>407.21575522604917</v>
      </c>
      <c r="E76" s="81">
        <f>IF(C15&gt;0,C15,0)</f>
        <v>0</v>
      </c>
      <c r="F76" s="107">
        <f t="shared" si="0"/>
        <v>2683.9442334824839</v>
      </c>
      <c r="G76" s="106">
        <f t="shared" si="2"/>
        <v>1683.9442334824837</v>
      </c>
    </row>
    <row r="77" spans="2:7" x14ac:dyDescent="0.25">
      <c r="B77" s="78">
        <v>7</v>
      </c>
      <c r="C77" s="79">
        <f t="shared" si="1"/>
        <v>2683.9442334824839</v>
      </c>
      <c r="D77" s="104">
        <f>IF(ISNUMBER(C77),C77*((1+C9)^30-1),0)</f>
        <v>480.05038302115349</v>
      </c>
      <c r="E77" s="79">
        <f>IF(C15&gt;0,C15,0)</f>
        <v>0</v>
      </c>
      <c r="F77" s="105">
        <f t="shared" si="0"/>
        <v>3163.9946165036372</v>
      </c>
      <c r="G77" s="104">
        <f t="shared" si="2"/>
        <v>2163.9946165036372</v>
      </c>
    </row>
    <row r="78" spans="2:7" x14ac:dyDescent="0.25">
      <c r="B78" s="80">
        <v>8</v>
      </c>
      <c r="C78" s="81">
        <f t="shared" si="1"/>
        <v>3163.9946165036372</v>
      </c>
      <c r="D78" s="106">
        <f>IF(ISNUMBER(C78),C78*((1+C9)^30-1),0)</f>
        <v>565.9122155301485</v>
      </c>
      <c r="E78" s="81">
        <f>IF(C15&gt;0,C15,0)</f>
        <v>0</v>
      </c>
      <c r="F78" s="107">
        <f t="shared" si="0"/>
        <v>3729.9068320337856</v>
      </c>
      <c r="G78" s="106">
        <f t="shared" si="2"/>
        <v>2729.9068320337856</v>
      </c>
    </row>
    <row r="79" spans="2:7" x14ac:dyDescent="0.25">
      <c r="B79" s="78">
        <v>9</v>
      </c>
      <c r="C79" s="79">
        <f t="shared" si="1"/>
        <v>3729.9068320337856</v>
      </c>
      <c r="D79" s="104">
        <f>IF(ISNUMBER(C79),C79*((1+C9)^30-1),0)</f>
        <v>667.13129915809088</v>
      </c>
      <c r="E79" s="79">
        <f>IF(C15&gt;0,C15,0)</f>
        <v>0</v>
      </c>
      <c r="F79" s="105">
        <f t="shared" si="0"/>
        <v>4397.0381311918763</v>
      </c>
      <c r="G79" s="104">
        <f t="shared" si="2"/>
        <v>3397.0381311918763</v>
      </c>
    </row>
    <row r="80" spans="2:7" x14ac:dyDescent="0.25">
      <c r="B80" s="80">
        <v>10</v>
      </c>
      <c r="C80" s="81">
        <f t="shared" si="1"/>
        <v>4397.0381311918763</v>
      </c>
      <c r="D80" s="106">
        <f>IF(ISNUMBER(C80),C80*((1+C9)^30-1),0)</f>
        <v>786.45443251198333</v>
      </c>
      <c r="E80" s="81">
        <f>IF(C15&gt;0,C15,0)</f>
        <v>0</v>
      </c>
      <c r="F80" s="107">
        <f t="shared" si="0"/>
        <v>5183.4925637038596</v>
      </c>
      <c r="G80" s="106">
        <f t="shared" si="2"/>
        <v>4183.4925637038596</v>
      </c>
    </row>
    <row r="81" spans="2:7" x14ac:dyDescent="0.25">
      <c r="B81" s="78">
        <v>11</v>
      </c>
      <c r="C81" s="79">
        <f t="shared" si="1"/>
        <v>5183.4925637038596</v>
      </c>
      <c r="D81" s="104">
        <f>IF(ISNUMBER(C81),C81*((1+C9)^30-1),0)</f>
        <v>927.11970671784752</v>
      </c>
      <c r="E81" s="79">
        <f>IF(C15&gt;0,C15,0)</f>
        <v>0</v>
      </c>
      <c r="F81" s="105">
        <f t="shared" si="0"/>
        <v>6110.6122704217069</v>
      </c>
      <c r="G81" s="104">
        <f t="shared" si="2"/>
        <v>5110.6122704217069</v>
      </c>
    </row>
    <row r="82" spans="2:7" x14ac:dyDescent="0.25">
      <c r="B82" s="80">
        <v>12</v>
      </c>
      <c r="C82" s="81">
        <f t="shared" si="1"/>
        <v>6110.6122704217069</v>
      </c>
      <c r="D82" s="106">
        <f>IF(ISNUMBER(C82),C82*((1+C9)^30-1),0)</f>
        <v>1092.9443780221691</v>
      </c>
      <c r="E82" s="81">
        <f>IF(C15&gt;0,C15,0)</f>
        <v>0</v>
      </c>
      <c r="F82" s="107">
        <f t="shared" si="0"/>
        <v>7203.5566484438759</v>
      </c>
      <c r="G82" s="106">
        <f t="shared" si="2"/>
        <v>6203.5566484438759</v>
      </c>
    </row>
    <row r="84" spans="2:7" ht="110.1" customHeight="1" x14ac:dyDescent="0.25">
      <c r="B84" s="120" t="s">
        <v>75</v>
      </c>
      <c r="C84" s="121"/>
      <c r="D84" s="121"/>
      <c r="E84" s="121"/>
      <c r="F84" s="121"/>
      <c r="G84" s="122"/>
    </row>
  </sheetData>
  <mergeCells count="33">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10:E10"/>
    <mergeCell ref="D34:E34"/>
    <mergeCell ref="B6:E6"/>
    <mergeCell ref="B30:E30"/>
    <mergeCell ref="B24:E24"/>
  </mergeCells>
  <dataValidations count="1">
    <dataValidation type="list" allowBlank="1" showErrorMessage="1" errorTitle="Invalid Selection" error="Please choose: Daily, Weekly, Monthly, or Annually" sqref="C58" xr:uid="{00000000-0002-0000-0200-000000000000}">
      <formula1>"Daily,Weekly,Monthly,Annually"</formula1>
    </dataValidation>
  </dataValidations>
  <hyperlinks>
    <hyperlink ref="A2" r:id="rId1" xr:uid="{00000000-0004-0000-0200-000000000000}"/>
  </hyperlinks>
  <pageMargins left="0.75" right="0.75" top="1" bottom="1" header="0.5" footer="0.5"/>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4"/>
  <sheetViews>
    <sheetView workbookViewId="0">
      <selection activeCell="H34" sqref="H34"/>
    </sheetView>
  </sheetViews>
  <sheetFormatPr defaultRowHeight="15" x14ac:dyDescent="0.25"/>
  <cols>
    <col min="1" max="1" width="1" customWidth="1"/>
    <col min="2" max="2" width="30" customWidth="1"/>
    <col min="3" max="3" width="20" customWidth="1"/>
    <col min="4" max="4" width="50.42578125" customWidth="1"/>
    <col min="5" max="5" width="28" customWidth="1"/>
    <col min="6" max="6" width="18.28515625" customWidth="1"/>
    <col min="7" max="7" width="24.140625" customWidth="1"/>
    <col min="8" max="8" width="1" customWidth="1"/>
  </cols>
  <sheetData>
    <row r="1" spans="1:7" ht="36" customHeight="1" x14ac:dyDescent="0.25">
      <c r="A1" s="117" t="s">
        <v>182</v>
      </c>
      <c r="B1" s="109"/>
      <c r="C1" s="109"/>
      <c r="D1" s="109"/>
      <c r="E1" s="109"/>
      <c r="F1" s="109"/>
      <c r="G1" s="109"/>
    </row>
    <row r="2" spans="1:7" ht="15.95" customHeight="1" x14ac:dyDescent="0.25">
      <c r="A2" s="124" t="s">
        <v>1</v>
      </c>
      <c r="B2" s="109"/>
      <c r="C2" s="109"/>
      <c r="D2" s="109"/>
      <c r="E2" s="109"/>
      <c r="F2" s="109"/>
      <c r="G2" s="109"/>
    </row>
    <row r="4" spans="1:7" ht="24" customHeight="1" x14ac:dyDescent="0.25">
      <c r="B4" s="141" t="s">
        <v>183</v>
      </c>
      <c r="C4" s="109"/>
      <c r="D4" s="109"/>
      <c r="E4" s="109"/>
      <c r="F4" s="109"/>
      <c r="G4" s="109"/>
    </row>
    <row r="6" spans="1:7" ht="20.100000000000001" customHeight="1" x14ac:dyDescent="0.25">
      <c r="B6" s="111" t="s">
        <v>3</v>
      </c>
      <c r="C6" s="109"/>
      <c r="D6" s="109"/>
      <c r="E6" s="109"/>
    </row>
    <row r="7" spans="1:7" ht="24" customHeight="1" x14ac:dyDescent="0.25">
      <c r="B7" s="64" t="s">
        <v>4</v>
      </c>
      <c r="C7" s="65" t="s">
        <v>184</v>
      </c>
      <c r="D7" s="110"/>
      <c r="E7" s="109"/>
    </row>
    <row r="8" spans="1:7" ht="24" customHeight="1" x14ac:dyDescent="0.25">
      <c r="B8" s="64" t="s">
        <v>6</v>
      </c>
      <c r="C8" s="67">
        <v>2500</v>
      </c>
      <c r="D8" s="110" t="s">
        <v>7</v>
      </c>
      <c r="E8" s="109"/>
    </row>
    <row r="9" spans="1:7" ht="24" customHeight="1" x14ac:dyDescent="0.25">
      <c r="B9" s="64" t="s">
        <v>8</v>
      </c>
      <c r="C9" s="90">
        <v>7.4999999999999997E-3</v>
      </c>
      <c r="D9" s="108" t="str">
        <f>TEXT(C9*100,"0.000")&amp;"% daily (enter decimal: 0.35% = 0.0035)"</f>
        <v>0.750% daily (enter decimal: 0.35% = 0.0035)</v>
      </c>
      <c r="E9" s="109"/>
    </row>
    <row r="10" spans="1:7" ht="24" customHeight="1" x14ac:dyDescent="0.25">
      <c r="B10" s="64" t="s">
        <v>9</v>
      </c>
      <c r="C10" s="91">
        <v>0.17</v>
      </c>
      <c r="D10" s="108" t="str">
        <f>TEXT(C10*100,"0.00")&amp;"% monthly (enter decimal: 5% = 0.05)"</f>
        <v>17.00% monthly (enter decimal: 5% = 0.05)</v>
      </c>
      <c r="E10" s="109"/>
    </row>
    <row r="11" spans="1:7" ht="24" customHeight="1" x14ac:dyDescent="0.25">
      <c r="B11" s="64" t="s">
        <v>10</v>
      </c>
      <c r="C11" s="91">
        <v>0.2</v>
      </c>
      <c r="D11" s="108" t="str">
        <f>TEXT(C11*100,"0.00")&amp;"% annually (enter decimal: 20% = 0.20)"</f>
        <v>20.00% annually (enter decimal: 20% = 0.20)</v>
      </c>
      <c r="E11" s="109"/>
    </row>
    <row r="12" spans="1:7" ht="24" customHeight="1" x14ac:dyDescent="0.25">
      <c r="B12" s="64" t="s">
        <v>11</v>
      </c>
      <c r="C12" s="68">
        <v>1</v>
      </c>
      <c r="D12" s="110"/>
      <c r="E12" s="109"/>
    </row>
    <row r="13" spans="1:7" ht="24" customHeight="1" x14ac:dyDescent="0.25">
      <c r="B13" s="64" t="s">
        <v>12</v>
      </c>
      <c r="C13" s="68">
        <v>0</v>
      </c>
      <c r="D13" s="110" t="s">
        <v>13</v>
      </c>
      <c r="E13" s="109"/>
    </row>
    <row r="14" spans="1:7" ht="24" customHeight="1" x14ac:dyDescent="0.25">
      <c r="B14" s="64" t="s">
        <v>14</v>
      </c>
      <c r="C14" s="68">
        <v>0</v>
      </c>
      <c r="D14" s="110" t="s">
        <v>15</v>
      </c>
      <c r="E14" s="109"/>
    </row>
    <row r="15" spans="1:7" ht="24" customHeight="1" x14ac:dyDescent="0.25">
      <c r="B15" s="64" t="s">
        <v>16</v>
      </c>
      <c r="C15" s="67">
        <v>100</v>
      </c>
      <c r="D15" s="110" t="s">
        <v>17</v>
      </c>
      <c r="E15" s="109"/>
    </row>
    <row r="17" spans="1:6" ht="20.100000000000001" customHeight="1" x14ac:dyDescent="0.25">
      <c r="B17" s="140" t="s">
        <v>18</v>
      </c>
      <c r="C17" s="109"/>
      <c r="D17" s="109"/>
      <c r="E17" s="109"/>
    </row>
    <row r="18" spans="1:6" ht="21.95" customHeight="1" x14ac:dyDescent="0.25">
      <c r="B18" s="64" t="s">
        <v>19</v>
      </c>
      <c r="C18" s="70">
        <f>C12*365+C13*30+C14</f>
        <v>365</v>
      </c>
    </row>
    <row r="19" spans="1:6" ht="21.95" customHeight="1" x14ac:dyDescent="0.25">
      <c r="B19" s="60" t="s">
        <v>20</v>
      </c>
      <c r="C19" s="71">
        <f>IF(C9&gt;0,(1+C9)^365-1,0)</f>
        <v>14.291321054733693</v>
      </c>
    </row>
    <row r="20" spans="1:6" ht="21.95" customHeight="1" x14ac:dyDescent="0.25">
      <c r="B20" s="60" t="s">
        <v>21</v>
      </c>
      <c r="C20" s="61">
        <f>IF(C15&gt;0,C8*(1+C9)^C18+C15*((1+C9)^C18-1)/((1+C9)^30-1)*((1+C9)^30-1),C8*(1+C9)^C18)</f>
        <v>39657.434742307603</v>
      </c>
    </row>
    <row r="21" spans="1:6" ht="21.95" customHeight="1" x14ac:dyDescent="0.25">
      <c r="B21" s="60" t="s">
        <v>22</v>
      </c>
      <c r="C21" s="62">
        <f>IF(C20&gt;0,C20-C8-C15*MAX(0,INT(C18/30)),0)</f>
        <v>35957.434742307603</v>
      </c>
    </row>
    <row r="22" spans="1:6" ht="21.95" customHeight="1" x14ac:dyDescent="0.25">
      <c r="B22" s="60" t="s">
        <v>23</v>
      </c>
      <c r="C22" s="72">
        <f>IF(C8&gt;0,(C20-C8)/C8,0)</f>
        <v>14.862973896923041</v>
      </c>
    </row>
    <row r="24" spans="1:6" ht="20.100000000000001" customHeight="1" x14ac:dyDescent="0.25">
      <c r="B24" s="140" t="s">
        <v>24</v>
      </c>
      <c r="C24" s="109"/>
      <c r="D24" s="109"/>
      <c r="E24" s="109"/>
    </row>
    <row r="25" spans="1:6" ht="21.95" customHeight="1" x14ac:dyDescent="0.25">
      <c r="B25" s="64" t="s">
        <v>25</v>
      </c>
      <c r="C25" s="70">
        <f>C12*12+C13+ROUND(C14/30,0)</f>
        <v>12</v>
      </c>
    </row>
    <row r="26" spans="1:6" ht="20.100000000000001" customHeight="1" x14ac:dyDescent="0.25">
      <c r="B26" s="111" t="s">
        <v>26</v>
      </c>
      <c r="C26" s="109"/>
      <c r="D26" s="109"/>
      <c r="E26" s="109"/>
    </row>
    <row r="27" spans="1:6" ht="18" customHeight="1" x14ac:dyDescent="0.25">
      <c r="B27" s="116" t="s">
        <v>27</v>
      </c>
      <c r="C27" s="109"/>
      <c r="D27" s="109"/>
      <c r="E27" s="109"/>
    </row>
    <row r="28" spans="1:6" ht="24" customHeight="1" x14ac:dyDescent="0.25">
      <c r="B28" s="64" t="s">
        <v>28</v>
      </c>
      <c r="C28" s="68">
        <v>60</v>
      </c>
      <c r="D28" s="110" t="s">
        <v>29</v>
      </c>
      <c r="E28" s="109"/>
    </row>
    <row r="29" spans="1:6" ht="6" hidden="1" customHeight="1" x14ac:dyDescent="0.25">
      <c r="A29" s="86"/>
      <c r="B29" s="86"/>
      <c r="C29" s="86"/>
      <c r="D29" s="86"/>
      <c r="E29" s="86"/>
      <c r="F29" s="86"/>
    </row>
    <row r="30" spans="1:6" ht="21.95" customHeight="1" x14ac:dyDescent="0.25">
      <c r="B30" s="112" t="s">
        <v>30</v>
      </c>
      <c r="C30" s="109"/>
      <c r="D30" s="109"/>
      <c r="E30" s="109"/>
    </row>
    <row r="31" spans="1:6" ht="21.95" customHeight="1" x14ac:dyDescent="0.25">
      <c r="B31" s="114" t="s">
        <v>31</v>
      </c>
      <c r="C31" s="115"/>
      <c r="D31" s="115"/>
      <c r="E31" s="115"/>
    </row>
    <row r="32" spans="1:6" ht="21.95" customHeight="1" x14ac:dyDescent="0.25">
      <c r="B32" s="64" t="s">
        <v>32</v>
      </c>
      <c r="C32" s="87">
        <f>IF(ISNUMBER(C5*(1+C6)^C28),(C5*(1+C6)^C28)*C6,"")</f>
        <v>0</v>
      </c>
      <c r="D32" s="110" t="s">
        <v>33</v>
      </c>
      <c r="E32" s="109"/>
    </row>
    <row r="33" spans="1:6" ht="21.95" customHeight="1" x14ac:dyDescent="0.25">
      <c r="B33" s="64" t="s">
        <v>34</v>
      </c>
      <c r="C33" s="87">
        <f>IF(ISNUMBER(C5*(1+C6)^C28),(C5*(1+C6)^C28)*((1+C6)^7-1),"")</f>
        <v>0</v>
      </c>
      <c r="D33" s="110" t="s">
        <v>35</v>
      </c>
      <c r="E33" s="109"/>
    </row>
    <row r="34" spans="1:6" ht="21.95" customHeight="1" x14ac:dyDescent="0.25">
      <c r="B34" s="60" t="s">
        <v>36</v>
      </c>
      <c r="C34" s="62">
        <f>IF(ISNUMBER(C5*(1+C6)^C28),(C5*(1+C6)^C28)*((1+C6)^30-1),"")</f>
        <v>0</v>
      </c>
      <c r="D34" s="110" t="s">
        <v>37</v>
      </c>
      <c r="E34" s="109"/>
    </row>
    <row r="35" spans="1:6" ht="21.95" customHeight="1" x14ac:dyDescent="0.25">
      <c r="B35" s="60" t="s">
        <v>38</v>
      </c>
      <c r="C35" s="63">
        <f>IF(ISNUMBER(C5*(1+C6)^C28),(C5*(1+C6)^C28)*((1+C6)^365-1),"")</f>
        <v>0</v>
      </c>
      <c r="D35" s="110" t="s">
        <v>39</v>
      </c>
      <c r="E35" s="109"/>
    </row>
    <row r="36" spans="1:6" ht="21.95" customHeight="1" x14ac:dyDescent="0.25">
      <c r="B36" s="64" t="s">
        <v>40</v>
      </c>
      <c r="C36" s="88">
        <f>IF(C6&gt;0,(1+C6)^365-1,0)</f>
        <v>0</v>
      </c>
      <c r="D36" s="110" t="s">
        <v>41</v>
      </c>
      <c r="E36" s="109"/>
    </row>
    <row r="37" spans="1:6" ht="8.1" hidden="1" customHeight="1" x14ac:dyDescent="0.25">
      <c r="A37" s="86"/>
      <c r="B37" s="118"/>
      <c r="C37" s="109"/>
      <c r="D37" s="109"/>
      <c r="E37" s="109"/>
      <c r="F37" s="109"/>
    </row>
    <row r="38" spans="1:6" ht="44.1" customHeight="1" x14ac:dyDescent="0.25">
      <c r="B38" s="123" t="s">
        <v>42</v>
      </c>
      <c r="C38" s="121"/>
      <c r="D38" s="121"/>
      <c r="E38" s="122"/>
    </row>
    <row r="39" spans="1:6" ht="24" customHeight="1" x14ac:dyDescent="0.25">
      <c r="D39" s="109"/>
      <c r="E39" s="109"/>
    </row>
    <row r="40" spans="1:6" ht="24" customHeight="1" x14ac:dyDescent="0.25">
      <c r="D40" s="109"/>
      <c r="E40" s="109"/>
    </row>
    <row r="42" spans="1:6" ht="20.100000000000001" customHeight="1" x14ac:dyDescent="0.25">
      <c r="B42" s="109"/>
      <c r="C42" s="109"/>
      <c r="D42" s="109"/>
      <c r="E42" s="109"/>
      <c r="F42" s="109"/>
    </row>
    <row r="43" spans="1:6" ht="21.95" customHeight="1" x14ac:dyDescent="0.25"/>
    <row r="44" spans="1:6" ht="21.95" customHeight="1" x14ac:dyDescent="0.25">
      <c r="B44" s="60" t="s">
        <v>43</v>
      </c>
      <c r="C44" s="71">
        <f>IF(C10&gt;0,(1+C10)^12-1,0)</f>
        <v>5.5800673820371847</v>
      </c>
    </row>
    <row r="45" spans="1:6" ht="21.95" customHeight="1" x14ac:dyDescent="0.25">
      <c r="B45" s="60" t="s">
        <v>44</v>
      </c>
      <c r="C45" s="61">
        <f>IF(C15&gt;0,C8*(1+C10)^C25+C15*((1+C10)^C25-1)/C10,C8*(1+C10)^C25)</f>
        <v>19732.561032761892</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82" t="s">
        <v>47</v>
      </c>
    </row>
    <row r="50" spans="2:7" ht="15.75" customHeight="1" x14ac:dyDescent="0.25">
      <c r="B50" s="64" t="s">
        <v>48</v>
      </c>
      <c r="C50" s="73">
        <f>C11</f>
        <v>0.2</v>
      </c>
    </row>
    <row r="51" spans="2:7" ht="20.100000000000001" customHeight="1" x14ac:dyDescent="0.25">
      <c r="B51" s="114" t="s">
        <v>49</v>
      </c>
      <c r="C51" s="115"/>
      <c r="D51" s="115"/>
      <c r="E51" s="115"/>
      <c r="F51" s="115"/>
      <c r="G51" s="115"/>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20.100000000000001" customHeight="1" x14ac:dyDescent="0.25">
      <c r="B55" s="74" t="s">
        <v>52</v>
      </c>
    </row>
    <row r="56" spans="2:7" ht="20.100000000000001" customHeight="1" x14ac:dyDescent="0.25">
      <c r="B56" s="64" t="s">
        <v>53</v>
      </c>
      <c r="C56" s="75"/>
      <c r="D56" s="66" t="s">
        <v>54</v>
      </c>
    </row>
    <row r="57" spans="2:7" ht="20.100000000000001" customHeight="1" x14ac:dyDescent="0.25">
      <c r="B57" s="64" t="s">
        <v>55</v>
      </c>
      <c r="C57" s="67"/>
      <c r="D57" s="66" t="s">
        <v>56</v>
      </c>
    </row>
    <row r="58" spans="2:7" ht="20.100000000000001" customHeight="1" x14ac:dyDescent="0.25">
      <c r="B58" s="64" t="s">
        <v>57</v>
      </c>
      <c r="C58" s="65" t="s">
        <v>181</v>
      </c>
      <c r="D58" s="66" t="s">
        <v>59</v>
      </c>
    </row>
    <row r="59" spans="2:7" ht="20.100000000000001" customHeight="1" x14ac:dyDescent="0.25"/>
    <row r="60" spans="2:7" ht="20.100000000000001"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4.1850505365278887E-2</v>
      </c>
    </row>
    <row r="64" spans="2:7" ht="20.100000000000001" customHeight="1" x14ac:dyDescent="0.25">
      <c r="B64" s="60" t="s">
        <v>64</v>
      </c>
      <c r="C64" s="62">
        <f>IF(ISNUMBER(C44),C44*((1+C9)^30-1),"")</f>
        <v>1.4021133733375728</v>
      </c>
    </row>
    <row r="65" spans="2:7" ht="31.5" customHeight="1" x14ac:dyDescent="0.25">
      <c r="B65" s="64" t="s">
        <v>65</v>
      </c>
      <c r="C65" s="77">
        <f>IF(ISNUMBER(C44),C44*((1+C9)^365-1),"")</f>
        <v>79.74653446374073</v>
      </c>
    </row>
    <row r="66" spans="2:7" ht="110.1" customHeight="1" x14ac:dyDescent="0.25">
      <c r="B66" s="114" t="s">
        <v>66</v>
      </c>
      <c r="C66" s="115"/>
      <c r="D66" s="115"/>
      <c r="E66" s="115"/>
      <c r="F66" s="115"/>
      <c r="G66" s="115"/>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2500</v>
      </c>
      <c r="D71" s="104">
        <f>IF(ISNUMBER(C71),C71*((1+C9)^30-1),0)</f>
        <v>628.17940955835093</v>
      </c>
      <c r="E71" s="79">
        <f>0</f>
        <v>0</v>
      </c>
      <c r="F71" s="105">
        <f t="shared" ref="F71:F82" si="0">C71+D71+E71</f>
        <v>3128.1794095583509</v>
      </c>
      <c r="G71" s="104">
        <f>D71</f>
        <v>628.17940955835093</v>
      </c>
    </row>
    <row r="72" spans="2:7" x14ac:dyDescent="0.25">
      <c r="B72" s="80">
        <v>2</v>
      </c>
      <c r="C72" s="81">
        <f t="shared" ref="C72:C82" si="1">F71</f>
        <v>3128.1794095583509</v>
      </c>
      <c r="D72" s="106">
        <f>IF(ISNUMBER(C72),C72*((1+C9)^30-1),0)</f>
        <v>786.02315779558228</v>
      </c>
      <c r="E72" s="81">
        <f>IF(C15&gt;0,C15,0)</f>
        <v>100</v>
      </c>
      <c r="F72" s="107">
        <f t="shared" si="0"/>
        <v>4014.2025673539333</v>
      </c>
      <c r="G72" s="106">
        <f t="shared" ref="G72:G82" si="2">G71+D72</f>
        <v>1414.2025673539333</v>
      </c>
    </row>
    <row r="73" spans="2:7" x14ac:dyDescent="0.25">
      <c r="B73" s="78">
        <v>3</v>
      </c>
      <c r="C73" s="79">
        <f t="shared" si="1"/>
        <v>4014.2025673539333</v>
      </c>
      <c r="D73" s="104">
        <f>IF(ISNUMBER(C73),C73*((1+C9)^30-1),0)</f>
        <v>1008.6557594432041</v>
      </c>
      <c r="E73" s="79">
        <f>IF(C15&gt;0,C15,0)</f>
        <v>100</v>
      </c>
      <c r="F73" s="105">
        <f t="shared" si="0"/>
        <v>5122.8583267971371</v>
      </c>
      <c r="G73" s="104">
        <f t="shared" si="2"/>
        <v>2422.8583267971376</v>
      </c>
    </row>
    <row r="74" spans="2:7" x14ac:dyDescent="0.25">
      <c r="B74" s="80">
        <v>4</v>
      </c>
      <c r="C74" s="81">
        <f t="shared" si="1"/>
        <v>5122.8583267971371</v>
      </c>
      <c r="D74" s="106">
        <f>IF(ISNUMBER(C74),C74*((1+C9)^30-1),0)</f>
        <v>1287.2296475914029</v>
      </c>
      <c r="E74" s="81">
        <f>IF(C15&gt;0,C15,0)</f>
        <v>100</v>
      </c>
      <c r="F74" s="107">
        <f t="shared" si="0"/>
        <v>6510.0879743885398</v>
      </c>
      <c r="G74" s="106">
        <f t="shared" si="2"/>
        <v>3710.0879743885407</v>
      </c>
    </row>
    <row r="75" spans="2:7" x14ac:dyDescent="0.25">
      <c r="B75" s="78">
        <v>5</v>
      </c>
      <c r="C75" s="79">
        <f t="shared" si="1"/>
        <v>6510.0879743885398</v>
      </c>
      <c r="D75" s="104">
        <f>IF(ISNUMBER(C75),C75*((1+C9)^30-1),0)</f>
        <v>1635.8012879697255</v>
      </c>
      <c r="E75" s="79">
        <f>IF(C15&gt;0,C15,0)</f>
        <v>100</v>
      </c>
      <c r="F75" s="105">
        <f t="shared" si="0"/>
        <v>8245.8892623582651</v>
      </c>
      <c r="G75" s="104">
        <f t="shared" si="2"/>
        <v>5345.889262358266</v>
      </c>
    </row>
    <row r="76" spans="2:7" x14ac:dyDescent="0.25">
      <c r="B76" s="80">
        <v>6</v>
      </c>
      <c r="C76" s="81">
        <f t="shared" si="1"/>
        <v>8245.8892623582651</v>
      </c>
      <c r="D76" s="106">
        <f>IF(ISNUMBER(C76),C76*((1+C9)^30-1),0)</f>
        <v>2071.9591392447046</v>
      </c>
      <c r="E76" s="81">
        <f>IF(C15&gt;0,C15,0)</f>
        <v>100</v>
      </c>
      <c r="F76" s="107">
        <f t="shared" si="0"/>
        <v>10417.848401602969</v>
      </c>
      <c r="G76" s="106">
        <f t="shared" si="2"/>
        <v>7417.8484016029706</v>
      </c>
    </row>
    <row r="77" spans="2:7" x14ac:dyDescent="0.25">
      <c r="B77" s="78">
        <v>7</v>
      </c>
      <c r="C77" s="79">
        <f t="shared" si="1"/>
        <v>10417.848401602969</v>
      </c>
      <c r="D77" s="104">
        <f>IF(ISNUMBER(C77),C77*((1+C9)^30-1),0)</f>
        <v>2617.7111431149451</v>
      </c>
      <c r="E77" s="79">
        <f>IF(C15&gt;0,C15,0)</f>
        <v>100</v>
      </c>
      <c r="F77" s="105">
        <f t="shared" si="0"/>
        <v>13135.559544717915</v>
      </c>
      <c r="G77" s="104">
        <f t="shared" si="2"/>
        <v>10035.559544717915</v>
      </c>
    </row>
    <row r="78" spans="2:7" x14ac:dyDescent="0.25">
      <c r="B78" s="80">
        <v>8</v>
      </c>
      <c r="C78" s="81">
        <f t="shared" si="1"/>
        <v>13135.559544717915</v>
      </c>
      <c r="D78" s="106">
        <f>IF(ISNUMBER(C78),C78*((1+C9)^30-1),0)</f>
        <v>3300.5952156077842</v>
      </c>
      <c r="E78" s="81">
        <f>IF(C15&gt;0,C15,0)</f>
        <v>100</v>
      </c>
      <c r="F78" s="107">
        <f t="shared" si="0"/>
        <v>16536.154760325699</v>
      </c>
      <c r="G78" s="106">
        <f t="shared" si="2"/>
        <v>13336.154760325699</v>
      </c>
    </row>
    <row r="79" spans="2:7" x14ac:dyDescent="0.25">
      <c r="B79" s="78">
        <v>9</v>
      </c>
      <c r="C79" s="79">
        <f t="shared" si="1"/>
        <v>16536.154760325699</v>
      </c>
      <c r="D79" s="104">
        <f>IF(ISNUMBER(C79),C79*((1+C9)^30-1),0)</f>
        <v>4155.0687734827643</v>
      </c>
      <c r="E79" s="79">
        <f>IF(C15&gt;0,C15,0)</f>
        <v>100</v>
      </c>
      <c r="F79" s="105">
        <f t="shared" si="0"/>
        <v>20791.223533808465</v>
      </c>
      <c r="G79" s="104">
        <f t="shared" si="2"/>
        <v>17491.223533808465</v>
      </c>
    </row>
    <row r="80" spans="2:7" x14ac:dyDescent="0.25">
      <c r="B80" s="80">
        <v>10</v>
      </c>
      <c r="C80" s="81">
        <f t="shared" si="1"/>
        <v>20791.223533808465</v>
      </c>
      <c r="D80" s="106">
        <f>IF(ISNUMBER(C80),C80*((1+C9)^30-1),0)</f>
        <v>5224.2474093853971</v>
      </c>
      <c r="E80" s="81">
        <f>IF(C15&gt;0,C15,0)</f>
        <v>100</v>
      </c>
      <c r="F80" s="107">
        <f t="shared" si="0"/>
        <v>26115.470943193861</v>
      </c>
      <c r="G80" s="106">
        <f t="shared" si="2"/>
        <v>22715.470943193861</v>
      </c>
    </row>
    <row r="81" spans="2:7" x14ac:dyDescent="0.25">
      <c r="B81" s="78">
        <v>11</v>
      </c>
      <c r="C81" s="79">
        <f t="shared" si="1"/>
        <v>26115.470943193861</v>
      </c>
      <c r="D81" s="104">
        <f>IF(ISNUMBER(C81),C81*((1+C9)^30-1),0)</f>
        <v>6562.0804469735158</v>
      </c>
      <c r="E81" s="79">
        <f>IF(C15&gt;0,C15,0)</f>
        <v>100</v>
      </c>
      <c r="F81" s="105">
        <f t="shared" si="0"/>
        <v>32777.551390167377</v>
      </c>
      <c r="G81" s="104">
        <f t="shared" si="2"/>
        <v>29277.551390167377</v>
      </c>
    </row>
    <row r="82" spans="2:7" x14ac:dyDescent="0.25">
      <c r="B82" s="80">
        <v>12</v>
      </c>
      <c r="C82" s="81">
        <f t="shared" si="1"/>
        <v>32777.551390167377</v>
      </c>
      <c r="D82" s="106">
        <f>IF(ISNUMBER(C82),C82*((1+C9)^30-1),0)</f>
        <v>8236.0731516175383</v>
      </c>
      <c r="E82" s="81">
        <f>IF(C15&gt;0,C15,0)</f>
        <v>100</v>
      </c>
      <c r="F82" s="107">
        <f t="shared" si="0"/>
        <v>41113.624541784913</v>
      </c>
      <c r="G82" s="106">
        <f t="shared" si="2"/>
        <v>37513.624541784913</v>
      </c>
    </row>
    <row r="84" spans="2:7" ht="110.1" customHeight="1" x14ac:dyDescent="0.25">
      <c r="B84" s="120" t="s">
        <v>75</v>
      </c>
      <c r="C84" s="121"/>
      <c r="D84" s="121"/>
      <c r="E84" s="121"/>
      <c r="F84" s="121"/>
      <c r="G84" s="122"/>
    </row>
  </sheetData>
  <mergeCells count="33">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10:E10"/>
    <mergeCell ref="D34:E34"/>
    <mergeCell ref="B6:E6"/>
    <mergeCell ref="B30:E30"/>
    <mergeCell ref="B24:E24"/>
  </mergeCells>
  <dataValidations count="1">
    <dataValidation type="list" allowBlank="1" showErrorMessage="1" errorTitle="Invalid Selection" error="Please choose: Daily, Weekly, Monthly, or Annually" sqref="C58" xr:uid="{00000000-0002-0000-0300-000000000000}">
      <formula1>"Daily,Weekly,Monthly,Annually"</formula1>
    </dataValidation>
  </dataValidations>
  <hyperlinks>
    <hyperlink ref="A2" r:id="rId1" xr:uid="{00000000-0004-0000-0300-000000000000}"/>
  </hyperlinks>
  <pageMargins left="0.75" right="0.75"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4"/>
  <sheetViews>
    <sheetView workbookViewId="0">
      <selection activeCell="B42" sqref="B42:F42"/>
    </sheetView>
  </sheetViews>
  <sheetFormatPr defaultRowHeight="15" x14ac:dyDescent="0.25"/>
  <cols>
    <col min="1" max="1" width="1" customWidth="1"/>
    <col min="2" max="2" width="30" customWidth="1"/>
    <col min="3" max="3" width="20" customWidth="1"/>
    <col min="4" max="4" width="63.140625" customWidth="1"/>
    <col min="5" max="5" width="28" customWidth="1"/>
    <col min="6" max="6" width="14.7109375" customWidth="1"/>
    <col min="7" max="7" width="32.28515625" customWidth="1"/>
    <col min="8" max="8" width="1" customWidth="1"/>
  </cols>
  <sheetData>
    <row r="1" spans="1:7" ht="36" customHeight="1" x14ac:dyDescent="0.25">
      <c r="A1" s="117" t="s">
        <v>185</v>
      </c>
      <c r="B1" s="109"/>
      <c r="C1" s="109"/>
      <c r="D1" s="109"/>
      <c r="E1" s="109"/>
      <c r="F1" s="109"/>
      <c r="G1" s="109"/>
    </row>
    <row r="2" spans="1:7" ht="15.95" customHeight="1" x14ac:dyDescent="0.25">
      <c r="A2" s="124" t="s">
        <v>1</v>
      </c>
      <c r="B2" s="109"/>
      <c r="C2" s="109"/>
      <c r="D2" s="109"/>
      <c r="E2" s="109"/>
      <c r="F2" s="109"/>
      <c r="G2" s="109"/>
    </row>
    <row r="4" spans="1:7" ht="24" customHeight="1" x14ac:dyDescent="0.25">
      <c r="B4" s="143" t="s">
        <v>186</v>
      </c>
      <c r="C4" s="109"/>
      <c r="D4" s="109"/>
      <c r="E4" s="109"/>
      <c r="F4" s="109"/>
      <c r="G4" s="109"/>
    </row>
    <row r="6" spans="1:7" ht="20.100000000000001" customHeight="1" x14ac:dyDescent="0.25">
      <c r="B6" s="111" t="s">
        <v>3</v>
      </c>
      <c r="C6" s="109"/>
      <c r="D6" s="109"/>
      <c r="E6" s="109"/>
    </row>
    <row r="7" spans="1:7" ht="24" customHeight="1" x14ac:dyDescent="0.25">
      <c r="B7" s="64" t="s">
        <v>4</v>
      </c>
      <c r="C7" s="65" t="s">
        <v>187</v>
      </c>
      <c r="D7" s="110"/>
      <c r="E7" s="109"/>
    </row>
    <row r="8" spans="1:7" ht="24" customHeight="1" x14ac:dyDescent="0.25">
      <c r="B8" s="64" t="s">
        <v>6</v>
      </c>
      <c r="C8" s="67">
        <v>500</v>
      </c>
      <c r="D8" s="110" t="s">
        <v>7</v>
      </c>
      <c r="E8" s="109"/>
    </row>
    <row r="9" spans="1:7" ht="24" customHeight="1" x14ac:dyDescent="0.25">
      <c r="B9" s="64" t="s">
        <v>8</v>
      </c>
      <c r="C9" s="90">
        <v>2E-3</v>
      </c>
      <c r="D9" s="108" t="str">
        <f>TEXT(C9*100,"0.000")&amp;"% daily (enter decimal: 0.35% = 0.0035)"</f>
        <v>0.200% daily (enter decimal: 0.35% = 0.0035)</v>
      </c>
      <c r="E9" s="109"/>
    </row>
    <row r="10" spans="1:7" ht="24" customHeight="1" x14ac:dyDescent="0.25">
      <c r="B10" s="64" t="s">
        <v>9</v>
      </c>
      <c r="C10" s="91">
        <v>0.08</v>
      </c>
      <c r="D10" s="108" t="str">
        <f>TEXT(C10*100,"0.00")&amp;"% monthly (enter decimal: 5% = 0.05)"</f>
        <v>8.00% monthly (enter decimal: 5% = 0.05)</v>
      </c>
      <c r="E10" s="109"/>
    </row>
    <row r="11" spans="1:7" ht="24" customHeight="1" x14ac:dyDescent="0.25">
      <c r="B11" s="64" t="s">
        <v>10</v>
      </c>
      <c r="C11" s="91">
        <v>0.2</v>
      </c>
      <c r="D11" s="108" t="str">
        <f>TEXT(C11*100,"0.00")&amp;"% annually (enter decimal: 20% = 0.20)"</f>
        <v>20.00% annually (enter decimal: 20% = 0.20)</v>
      </c>
      <c r="E11" s="109"/>
    </row>
    <row r="12" spans="1:7" ht="24" customHeight="1" x14ac:dyDescent="0.25">
      <c r="B12" s="64" t="s">
        <v>11</v>
      </c>
      <c r="C12" s="68">
        <v>1</v>
      </c>
      <c r="D12" s="110"/>
      <c r="E12" s="109"/>
    </row>
    <row r="13" spans="1:7" ht="24" customHeight="1" x14ac:dyDescent="0.25">
      <c r="B13" s="64" t="s">
        <v>12</v>
      </c>
      <c r="C13" s="68">
        <v>0</v>
      </c>
      <c r="D13" s="110" t="s">
        <v>13</v>
      </c>
      <c r="E13" s="109"/>
    </row>
    <row r="14" spans="1:7" ht="24" customHeight="1" x14ac:dyDescent="0.25">
      <c r="B14" s="64" t="s">
        <v>14</v>
      </c>
      <c r="C14" s="68">
        <v>0</v>
      </c>
      <c r="D14" s="110" t="s">
        <v>15</v>
      </c>
      <c r="E14" s="109"/>
    </row>
    <row r="15" spans="1:7" ht="24" customHeight="1" x14ac:dyDescent="0.25">
      <c r="B15" s="64" t="s">
        <v>16</v>
      </c>
      <c r="C15" s="67">
        <v>0</v>
      </c>
      <c r="D15" s="110" t="s">
        <v>17</v>
      </c>
      <c r="E15" s="109"/>
    </row>
    <row r="17" spans="1:6" ht="20.100000000000001" customHeight="1" x14ac:dyDescent="0.25">
      <c r="B17" s="142" t="s">
        <v>18</v>
      </c>
      <c r="C17" s="109"/>
      <c r="D17" s="109"/>
      <c r="E17" s="109"/>
    </row>
    <row r="18" spans="1:6" ht="21.95" customHeight="1" x14ac:dyDescent="0.25">
      <c r="B18" s="64" t="s">
        <v>19</v>
      </c>
      <c r="C18" s="70">
        <f>C12*365+C13*30+C14</f>
        <v>365</v>
      </c>
    </row>
    <row r="19" spans="1:6" ht="21.95" customHeight="1" x14ac:dyDescent="0.25">
      <c r="B19" s="60" t="s">
        <v>20</v>
      </c>
      <c r="C19" s="71">
        <f>IF(C9&gt;0,(1+C9)^365-1,0)</f>
        <v>1.0735683668508744</v>
      </c>
    </row>
    <row r="20" spans="1:6" ht="21.95" customHeight="1" x14ac:dyDescent="0.25">
      <c r="B20" s="60" t="s">
        <v>21</v>
      </c>
      <c r="C20" s="61">
        <f>IF(C15&gt;0,C8*(1+C9)^C18+C15*((1+C9)^C18-1)/((1+C9)^30-1)*((1+C9)^30-1),C8*(1+C9)^C18)</f>
        <v>1036.7841834254373</v>
      </c>
    </row>
    <row r="21" spans="1:6" ht="21.95" customHeight="1" x14ac:dyDescent="0.25">
      <c r="B21" s="60" t="s">
        <v>22</v>
      </c>
      <c r="C21" s="62">
        <f>IF(C20&gt;0,C20-C8-C15*MAX(0,INT(C18/30)),0)</f>
        <v>536.78418342543728</v>
      </c>
    </row>
    <row r="22" spans="1:6" ht="21.95" customHeight="1" x14ac:dyDescent="0.25">
      <c r="B22" s="60" t="s">
        <v>23</v>
      </c>
      <c r="C22" s="72">
        <f>IF(C8&gt;0,(C20-C8)/C8,0)</f>
        <v>1.0735683668508746</v>
      </c>
    </row>
    <row r="24" spans="1:6" ht="20.100000000000001" customHeight="1" x14ac:dyDescent="0.25">
      <c r="B24" s="142" t="s">
        <v>24</v>
      </c>
      <c r="C24" s="109"/>
      <c r="D24" s="109"/>
      <c r="E24" s="109"/>
    </row>
    <row r="25" spans="1:6" ht="21.95" customHeight="1" x14ac:dyDescent="0.25">
      <c r="B25" s="64" t="s">
        <v>25</v>
      </c>
      <c r="C25" s="70">
        <f>C12*12+C13+ROUND(C14/30,0)</f>
        <v>12</v>
      </c>
    </row>
    <row r="26" spans="1:6" ht="20.100000000000001" customHeight="1" x14ac:dyDescent="0.25">
      <c r="B26" s="111" t="s">
        <v>26</v>
      </c>
      <c r="C26" s="109"/>
      <c r="D26" s="109"/>
      <c r="E26" s="109"/>
    </row>
    <row r="27" spans="1:6" ht="18" customHeight="1" x14ac:dyDescent="0.25">
      <c r="B27" s="116" t="s">
        <v>27</v>
      </c>
      <c r="C27" s="109"/>
      <c r="D27" s="109"/>
      <c r="E27" s="109"/>
    </row>
    <row r="28" spans="1:6" ht="24" customHeight="1" x14ac:dyDescent="0.25">
      <c r="B28" s="64" t="s">
        <v>28</v>
      </c>
      <c r="C28" s="68">
        <v>60</v>
      </c>
      <c r="D28" s="110" t="s">
        <v>29</v>
      </c>
      <c r="E28" s="109"/>
    </row>
    <row r="29" spans="1:6" ht="6" hidden="1" customHeight="1" x14ac:dyDescent="0.25">
      <c r="A29" s="86"/>
      <c r="B29" s="86"/>
      <c r="C29" s="86"/>
      <c r="D29" s="86"/>
      <c r="E29" s="86"/>
      <c r="F29" s="86"/>
    </row>
    <row r="30" spans="1:6" ht="21.95" customHeight="1" x14ac:dyDescent="0.25">
      <c r="B30" s="112" t="s">
        <v>30</v>
      </c>
      <c r="C30" s="109"/>
      <c r="D30" s="109"/>
      <c r="E30" s="109"/>
    </row>
    <row r="31" spans="1:6" ht="21.95" customHeight="1" x14ac:dyDescent="0.25">
      <c r="B31" s="114" t="s">
        <v>31</v>
      </c>
      <c r="C31" s="115"/>
      <c r="D31" s="115"/>
      <c r="E31" s="115"/>
    </row>
    <row r="32" spans="1:6" ht="21.95" customHeight="1" x14ac:dyDescent="0.25">
      <c r="B32" s="64" t="s">
        <v>32</v>
      </c>
      <c r="C32" s="87">
        <f>IF(ISNUMBER(C5*(1+C6)^C28),(C5*(1+C6)^C28)*C6,"")</f>
        <v>0</v>
      </c>
      <c r="D32" s="110" t="s">
        <v>33</v>
      </c>
      <c r="E32" s="109"/>
    </row>
    <row r="33" spans="1:6" ht="21.95" customHeight="1" x14ac:dyDescent="0.25">
      <c r="B33" s="64" t="s">
        <v>34</v>
      </c>
      <c r="C33" s="87">
        <f>IF(ISNUMBER(C5*(1+C6)^C28),(C5*(1+C6)^C28)*((1+C6)^7-1),"")</f>
        <v>0</v>
      </c>
      <c r="D33" s="110" t="s">
        <v>35</v>
      </c>
      <c r="E33" s="109"/>
    </row>
    <row r="34" spans="1:6" ht="21.95" customHeight="1" x14ac:dyDescent="0.25">
      <c r="B34" s="60" t="s">
        <v>36</v>
      </c>
      <c r="C34" s="62">
        <f>IF(ISNUMBER(C5*(1+C6)^C28),(C5*(1+C6)^C28)*((1+C6)^30-1),"")</f>
        <v>0</v>
      </c>
      <c r="D34" s="110" t="s">
        <v>37</v>
      </c>
      <c r="E34" s="109"/>
    </row>
    <row r="35" spans="1:6" ht="21.95" customHeight="1" x14ac:dyDescent="0.25">
      <c r="B35" s="60" t="s">
        <v>38</v>
      </c>
      <c r="C35" s="63">
        <f>IF(ISNUMBER(C5*(1+C6)^C28),(C5*(1+C6)^C28)*((1+C6)^365-1),"")</f>
        <v>0</v>
      </c>
      <c r="D35" s="110" t="s">
        <v>39</v>
      </c>
      <c r="E35" s="109"/>
    </row>
    <row r="36" spans="1:6" ht="21.95" customHeight="1" x14ac:dyDescent="0.25">
      <c r="B36" s="64" t="s">
        <v>40</v>
      </c>
      <c r="C36" s="88">
        <f>IF(C6&gt;0,(1+C6)^365-1,0)</f>
        <v>0</v>
      </c>
      <c r="D36" s="110" t="s">
        <v>41</v>
      </c>
      <c r="E36" s="109"/>
    </row>
    <row r="37" spans="1:6" ht="8.1" hidden="1" customHeight="1" x14ac:dyDescent="0.25">
      <c r="A37" s="86"/>
      <c r="B37" s="118"/>
      <c r="C37" s="109"/>
      <c r="D37" s="109"/>
      <c r="E37" s="109"/>
      <c r="F37" s="109"/>
    </row>
    <row r="38" spans="1:6" ht="44.1" customHeight="1" x14ac:dyDescent="0.25">
      <c r="B38" s="123" t="s">
        <v>42</v>
      </c>
      <c r="C38" s="121"/>
      <c r="D38" s="121"/>
      <c r="E38" s="122"/>
    </row>
    <row r="39" spans="1:6" ht="24" customHeight="1" x14ac:dyDescent="0.25">
      <c r="D39" s="109"/>
      <c r="E39" s="109"/>
    </row>
    <row r="40" spans="1:6" ht="24" customHeight="1" x14ac:dyDescent="0.25">
      <c r="D40" s="109"/>
      <c r="E40" s="109"/>
    </row>
    <row r="42" spans="1:6" ht="20.100000000000001" customHeight="1" x14ac:dyDescent="0.25">
      <c r="B42" s="109"/>
      <c r="C42" s="109"/>
      <c r="D42" s="109"/>
      <c r="E42" s="109"/>
      <c r="F42" s="109"/>
    </row>
    <row r="43" spans="1:6" ht="21.95" customHeight="1" x14ac:dyDescent="0.25"/>
    <row r="44" spans="1:6" ht="21.95" customHeight="1" x14ac:dyDescent="0.25">
      <c r="B44" s="60" t="s">
        <v>43</v>
      </c>
      <c r="C44" s="71">
        <f>IF(C10&gt;0,(1+C10)^12-1,0)</f>
        <v>1.5181701168189798</v>
      </c>
    </row>
    <row r="45" spans="1:6" ht="21.95" customHeight="1" x14ac:dyDescent="0.25">
      <c r="B45" s="60" t="s">
        <v>44</v>
      </c>
      <c r="C45" s="61">
        <f>IF(C15&gt;0,C8*(1+C10)^C25+C15*((1+C10)^C25-1)/C10,C8*(1+C10)^C25)</f>
        <v>1259.0850584094899</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83" t="s">
        <v>47</v>
      </c>
    </row>
    <row r="50" spans="2:7" ht="15.75" customHeight="1" x14ac:dyDescent="0.25">
      <c r="B50" s="64" t="s">
        <v>48</v>
      </c>
      <c r="C50" s="73">
        <f>C11</f>
        <v>0.2</v>
      </c>
    </row>
    <row r="51" spans="2:7" ht="20.100000000000001" customHeight="1" x14ac:dyDescent="0.25">
      <c r="B51" s="114" t="s">
        <v>49</v>
      </c>
      <c r="C51" s="115"/>
      <c r="D51" s="115"/>
      <c r="E51" s="115"/>
      <c r="F51" s="115"/>
      <c r="G51" s="115"/>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20.100000000000001" customHeight="1" x14ac:dyDescent="0.25">
      <c r="B55" s="74" t="s">
        <v>52</v>
      </c>
    </row>
    <row r="56" spans="2:7" ht="20.100000000000001" customHeight="1" x14ac:dyDescent="0.25">
      <c r="B56" s="64" t="s">
        <v>53</v>
      </c>
      <c r="C56" s="75"/>
      <c r="D56" s="66" t="s">
        <v>54</v>
      </c>
    </row>
    <row r="57" spans="2:7" ht="20.100000000000001" customHeight="1" x14ac:dyDescent="0.25">
      <c r="B57" s="64" t="s">
        <v>55</v>
      </c>
      <c r="C57" s="67"/>
      <c r="D57" s="66" t="s">
        <v>56</v>
      </c>
    </row>
    <row r="58" spans="2:7" ht="20.100000000000001" customHeight="1" x14ac:dyDescent="0.25">
      <c r="B58" s="64" t="s">
        <v>57</v>
      </c>
      <c r="C58" s="65" t="s">
        <v>181</v>
      </c>
      <c r="D58" s="66" t="s">
        <v>59</v>
      </c>
    </row>
    <row r="59" spans="2:7" ht="20.100000000000001" customHeight="1" x14ac:dyDescent="0.25"/>
    <row r="60" spans="2:7" ht="20.100000000000001"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3.0363402336379599E-3</v>
      </c>
    </row>
    <row r="64" spans="2:7" ht="20.100000000000001" customHeight="1" x14ac:dyDescent="0.25">
      <c r="B64" s="60" t="s">
        <v>64</v>
      </c>
      <c r="C64" s="62">
        <f>IF(ISNUMBER(C44),C44*((1+C9)^30-1),"")</f>
        <v>9.3781805846267455E-2</v>
      </c>
    </row>
    <row r="65" spans="2:7" ht="31.5" customHeight="1" x14ac:dyDescent="0.25">
      <c r="B65" s="64" t="s">
        <v>65</v>
      </c>
      <c r="C65" s="77">
        <f>IF(ISNUMBER(C44),C44*((1+C9)^365-1),"")</f>
        <v>1.6298594129151533</v>
      </c>
    </row>
    <row r="66" spans="2:7" ht="110.1" customHeight="1" x14ac:dyDescent="0.25">
      <c r="B66" s="114" t="s">
        <v>66</v>
      </c>
      <c r="C66" s="115"/>
      <c r="D66" s="115"/>
      <c r="E66" s="115"/>
      <c r="F66" s="115"/>
      <c r="G66" s="115"/>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500</v>
      </c>
      <c r="D71" s="104">
        <f>IF(ISNUMBER(C71),C71*((1+C9)^30-1),0)</f>
        <v>30.886461539227362</v>
      </c>
      <c r="E71" s="79">
        <f>0</f>
        <v>0</v>
      </c>
      <c r="F71" s="105">
        <f t="shared" ref="F71:F82" si="0">C71+D71+E71</f>
        <v>530.88646153922741</v>
      </c>
      <c r="G71" s="104">
        <f>D71</f>
        <v>30.886461539227362</v>
      </c>
    </row>
    <row r="72" spans="2:7" x14ac:dyDescent="0.25">
      <c r="B72" s="80">
        <v>2</v>
      </c>
      <c r="C72" s="81">
        <f t="shared" ref="C72:C82" si="1">F71</f>
        <v>530.88646153922741</v>
      </c>
      <c r="D72" s="106">
        <f>IF(ISNUMBER(C72),C72*((1+C9)^30-1),0)</f>
        <v>32.794408552055707</v>
      </c>
      <c r="E72" s="81">
        <f>IF(C15&gt;0,C15,0)</f>
        <v>0</v>
      </c>
      <c r="F72" s="107">
        <f t="shared" si="0"/>
        <v>563.68087009128317</v>
      </c>
      <c r="G72" s="106">
        <f t="shared" ref="G72:G82" si="2">G71+D72</f>
        <v>63.680870091283069</v>
      </c>
    </row>
    <row r="73" spans="2:7" x14ac:dyDescent="0.25">
      <c r="B73" s="78">
        <v>3</v>
      </c>
      <c r="C73" s="79">
        <f t="shared" si="1"/>
        <v>563.68087009128317</v>
      </c>
      <c r="D73" s="104">
        <f>IF(ISNUMBER(C73),C73*((1+C9)^30-1),0)</f>
        <v>34.820215028945263</v>
      </c>
      <c r="E73" s="79">
        <f>IF(C15&gt;0,C15,0)</f>
        <v>0</v>
      </c>
      <c r="F73" s="105">
        <f t="shared" si="0"/>
        <v>598.50108512022848</v>
      </c>
      <c r="G73" s="104">
        <f t="shared" si="2"/>
        <v>98.501085120228339</v>
      </c>
    </row>
    <row r="74" spans="2:7" x14ac:dyDescent="0.25">
      <c r="B74" s="80">
        <v>4</v>
      </c>
      <c r="C74" s="81">
        <f t="shared" si="1"/>
        <v>598.50108512022848</v>
      </c>
      <c r="D74" s="106">
        <f>IF(ISNUMBER(C74),C74*((1+C9)^30-1),0)</f>
        <v>36.971161493503558</v>
      </c>
      <c r="E74" s="81">
        <f>IF(C15&gt;0,C15,0)</f>
        <v>0</v>
      </c>
      <c r="F74" s="107">
        <f t="shared" si="0"/>
        <v>635.47224661373207</v>
      </c>
      <c r="G74" s="106">
        <f t="shared" si="2"/>
        <v>135.4722466137319</v>
      </c>
    </row>
    <row r="75" spans="2:7" x14ac:dyDescent="0.25">
      <c r="B75" s="78">
        <v>5</v>
      </c>
      <c r="C75" s="79">
        <f t="shared" si="1"/>
        <v>635.47224661373207</v>
      </c>
      <c r="D75" s="104">
        <f>IF(ISNUMBER(C75),C75*((1+C9)^30-1),0)</f>
        <v>39.254978208562882</v>
      </c>
      <c r="E75" s="79">
        <f>IF(C15&gt;0,C15,0)</f>
        <v>0</v>
      </c>
      <c r="F75" s="105">
        <f t="shared" si="0"/>
        <v>674.72722482229494</v>
      </c>
      <c r="G75" s="104">
        <f t="shared" si="2"/>
        <v>174.72722482229477</v>
      </c>
    </row>
    <row r="76" spans="2:7" x14ac:dyDescent="0.25">
      <c r="B76" s="80">
        <v>6</v>
      </c>
      <c r="C76" s="81">
        <f t="shared" si="1"/>
        <v>674.72722482229494</v>
      </c>
      <c r="D76" s="106">
        <f>IF(ISNUMBER(C76),C76*((1+C9)^30-1),0)</f>
        <v>41.67987295788685</v>
      </c>
      <c r="E76" s="81">
        <f>IF(C15&gt;0,C15,0)</f>
        <v>0</v>
      </c>
      <c r="F76" s="107">
        <f t="shared" si="0"/>
        <v>716.40709778018174</v>
      </c>
      <c r="G76" s="106">
        <f t="shared" si="2"/>
        <v>216.40709778018163</v>
      </c>
    </row>
    <row r="77" spans="2:7" x14ac:dyDescent="0.25">
      <c r="B77" s="78">
        <v>7</v>
      </c>
      <c r="C77" s="79">
        <f t="shared" si="1"/>
        <v>716.40709778018174</v>
      </c>
      <c r="D77" s="104">
        <f>IF(ISNUMBER(C77),C77*((1+C9)^30-1),0)</f>
        <v>44.254560544034156</v>
      </c>
      <c r="E77" s="79">
        <f>IF(C15&gt;0,C15,0)</f>
        <v>0</v>
      </c>
      <c r="F77" s="105">
        <f t="shared" si="0"/>
        <v>760.66165832421586</v>
      </c>
      <c r="G77" s="104">
        <f t="shared" si="2"/>
        <v>260.66165832421581</v>
      </c>
    </row>
    <row r="78" spans="2:7" x14ac:dyDescent="0.25">
      <c r="B78" s="80">
        <v>8</v>
      </c>
      <c r="C78" s="81">
        <f t="shared" si="1"/>
        <v>760.66165832421586</v>
      </c>
      <c r="D78" s="106">
        <f>IF(ISNUMBER(C78),C78*((1+C9)^30-1),0)</f>
        <v>46.988294108391592</v>
      </c>
      <c r="E78" s="81">
        <f>IF(C15&gt;0,C15,0)</f>
        <v>0</v>
      </c>
      <c r="F78" s="107">
        <f t="shared" si="0"/>
        <v>807.64995243260751</v>
      </c>
      <c r="G78" s="106">
        <f t="shared" si="2"/>
        <v>307.64995243260739</v>
      </c>
    </row>
    <row r="79" spans="2:7" x14ac:dyDescent="0.25">
      <c r="B79" s="78">
        <v>9</v>
      </c>
      <c r="C79" s="79">
        <f t="shared" si="1"/>
        <v>807.64995243260751</v>
      </c>
      <c r="D79" s="104">
        <f>IF(ISNUMBER(C79),C79*((1+C9)^30-1),0)</f>
        <v>49.890898385937078</v>
      </c>
      <c r="E79" s="79">
        <f>IF(C15&gt;0,C15,0)</f>
        <v>0</v>
      </c>
      <c r="F79" s="105">
        <f t="shared" si="0"/>
        <v>857.54085081854464</v>
      </c>
      <c r="G79" s="104">
        <f t="shared" si="2"/>
        <v>357.54085081854447</v>
      </c>
    </row>
    <row r="80" spans="2:7" x14ac:dyDescent="0.25">
      <c r="B80" s="80">
        <v>10</v>
      </c>
      <c r="C80" s="81">
        <f t="shared" si="1"/>
        <v>857.54085081854464</v>
      </c>
      <c r="D80" s="106">
        <f>IF(ISNUMBER(C80),C80*((1+C9)^30-1),0)</f>
        <v>52.972805014246575</v>
      </c>
      <c r="E80" s="81">
        <f>IF(C15&gt;0,C15,0)</f>
        <v>0</v>
      </c>
      <c r="F80" s="107">
        <f t="shared" si="0"/>
        <v>910.51365583279119</v>
      </c>
      <c r="G80" s="106">
        <f t="shared" si="2"/>
        <v>410.51365583279107</v>
      </c>
    </row>
    <row r="81" spans="2:7" x14ac:dyDescent="0.25">
      <c r="B81" s="78">
        <v>11</v>
      </c>
      <c r="C81" s="79">
        <f t="shared" si="1"/>
        <v>910.51365583279119</v>
      </c>
      <c r="D81" s="104">
        <f>IF(ISNUMBER(C81),C81*((1+C9)^30-1),0)</f>
        <v>56.245090023641609</v>
      </c>
      <c r="E81" s="79">
        <f>IF(C15&gt;0,C15,0)</f>
        <v>0</v>
      </c>
      <c r="F81" s="105">
        <f t="shared" si="0"/>
        <v>966.75874585643282</v>
      </c>
      <c r="G81" s="104">
        <f t="shared" si="2"/>
        <v>466.75874585643271</v>
      </c>
    </row>
    <row r="82" spans="2:7" x14ac:dyDescent="0.25">
      <c r="B82" s="80">
        <v>12</v>
      </c>
      <c r="C82" s="81">
        <f t="shared" si="1"/>
        <v>966.75874585643282</v>
      </c>
      <c r="D82" s="106">
        <f>IF(ISNUMBER(C82),C82*((1+C9)^30-1),0)</f>
        <v>59.719513643212785</v>
      </c>
      <c r="E82" s="81">
        <f>IF(C15&gt;0,C15,0)</f>
        <v>0</v>
      </c>
      <c r="F82" s="107">
        <f t="shared" si="0"/>
        <v>1026.4782594996457</v>
      </c>
      <c r="G82" s="106">
        <f t="shared" si="2"/>
        <v>526.47825949964545</v>
      </c>
    </row>
    <row r="84" spans="2:7" ht="110.1" customHeight="1" x14ac:dyDescent="0.25">
      <c r="B84" s="120" t="s">
        <v>75</v>
      </c>
      <c r="C84" s="121"/>
      <c r="D84" s="121"/>
      <c r="E84" s="121"/>
      <c r="F84" s="121"/>
      <c r="G84" s="122"/>
    </row>
  </sheetData>
  <mergeCells count="33">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10:E10"/>
    <mergeCell ref="D34:E34"/>
    <mergeCell ref="B6:E6"/>
    <mergeCell ref="B30:E30"/>
    <mergeCell ref="B24:E24"/>
  </mergeCells>
  <dataValidations count="1">
    <dataValidation type="list" allowBlank="1" showErrorMessage="1" errorTitle="Invalid Selection" error="Please choose: Daily, Weekly, Monthly, or Annually" sqref="C58" xr:uid="{00000000-0002-0000-0400-000000000000}">
      <formula1>"Daily,Weekly,Monthly,Annually"</formula1>
    </dataValidation>
  </dataValidations>
  <hyperlinks>
    <hyperlink ref="A2" r:id="rId1" xr:uid="{00000000-0004-0000-0400-000000000000}"/>
  </hyperlinks>
  <pageMargins left="0.75" right="0.75" top="1" bottom="1" header="0.5" footer="0.5"/>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4"/>
  <sheetViews>
    <sheetView workbookViewId="0">
      <selection activeCell="C32" sqref="C32"/>
    </sheetView>
  </sheetViews>
  <sheetFormatPr defaultRowHeight="15" x14ac:dyDescent="0.25"/>
  <cols>
    <col min="1" max="1" width="1" customWidth="1"/>
    <col min="2" max="2" width="30" customWidth="1"/>
    <col min="3" max="3" width="20" customWidth="1"/>
    <col min="4" max="4" width="47" customWidth="1"/>
    <col min="5" max="5" width="28" customWidth="1"/>
    <col min="6" max="6" width="22.42578125" customWidth="1"/>
    <col min="7" max="7" width="27" customWidth="1"/>
    <col min="8" max="8" width="1" customWidth="1"/>
  </cols>
  <sheetData>
    <row r="1" spans="1:7" ht="36" customHeight="1" x14ac:dyDescent="0.25">
      <c r="A1" s="117" t="s">
        <v>188</v>
      </c>
      <c r="B1" s="109"/>
      <c r="C1" s="109"/>
      <c r="D1" s="109"/>
      <c r="E1" s="109"/>
      <c r="F1" s="109"/>
      <c r="G1" s="109"/>
    </row>
    <row r="2" spans="1:7" ht="15.95" customHeight="1" x14ac:dyDescent="0.25">
      <c r="A2" s="124" t="s">
        <v>1</v>
      </c>
      <c r="B2" s="109"/>
      <c r="C2" s="109"/>
      <c r="D2" s="109"/>
      <c r="E2" s="109"/>
      <c r="F2" s="109"/>
      <c r="G2" s="109"/>
    </row>
    <row r="4" spans="1:7" ht="24" customHeight="1" x14ac:dyDescent="0.25">
      <c r="B4" s="145" t="s">
        <v>189</v>
      </c>
      <c r="C4" s="109"/>
      <c r="D4" s="109"/>
      <c r="E4" s="109"/>
      <c r="F4" s="109"/>
      <c r="G4" s="109"/>
    </row>
    <row r="6" spans="1:7" ht="20.100000000000001" customHeight="1" x14ac:dyDescent="0.25">
      <c r="B6" s="111" t="s">
        <v>3</v>
      </c>
      <c r="C6" s="109"/>
      <c r="D6" s="109"/>
      <c r="E6" s="109"/>
    </row>
    <row r="7" spans="1:7" ht="24" customHeight="1" x14ac:dyDescent="0.25">
      <c r="B7" s="64" t="s">
        <v>4</v>
      </c>
      <c r="C7" s="65" t="s">
        <v>190</v>
      </c>
      <c r="D7" s="110"/>
      <c r="E7" s="109"/>
    </row>
    <row r="8" spans="1:7" ht="24" customHeight="1" x14ac:dyDescent="0.25">
      <c r="B8" s="64" t="s">
        <v>6</v>
      </c>
      <c r="C8" s="67">
        <v>750</v>
      </c>
      <c r="D8" s="110" t="s">
        <v>7</v>
      </c>
      <c r="E8" s="109"/>
    </row>
    <row r="9" spans="1:7" ht="24" customHeight="1" x14ac:dyDescent="0.25">
      <c r="B9" s="64" t="s">
        <v>8</v>
      </c>
      <c r="C9" s="90">
        <v>3.0000000000000001E-3</v>
      </c>
      <c r="D9" s="108" t="str">
        <f>TEXT(C9*100,"0.000")&amp;"% daily (enter decimal: 0.35% = 0.0035)"</f>
        <v>0.300% daily (enter decimal: 0.35% = 0.0035)</v>
      </c>
      <c r="E9" s="109"/>
    </row>
    <row r="10" spans="1:7" ht="24" customHeight="1" x14ac:dyDescent="0.25">
      <c r="B10" s="64" t="s">
        <v>9</v>
      </c>
      <c r="C10" s="91">
        <v>0.12</v>
      </c>
      <c r="D10" s="108" t="str">
        <f>TEXT(C10*100,"0.00")&amp;"% monthly (enter decimal: 5% = 0.05)"</f>
        <v>12.00% monthly (enter decimal: 5% = 0.05)</v>
      </c>
      <c r="E10" s="109"/>
    </row>
    <row r="11" spans="1:7" ht="24" customHeight="1" x14ac:dyDescent="0.25">
      <c r="B11" s="64" t="s">
        <v>10</v>
      </c>
      <c r="C11" s="91">
        <v>0.2</v>
      </c>
      <c r="D11" s="108" t="str">
        <f>TEXT(C11*100,"0.00")&amp;"% annually (enter decimal: 20% = 0.20)"</f>
        <v>20.00% annually (enter decimal: 20% = 0.20)</v>
      </c>
      <c r="E11" s="109"/>
    </row>
    <row r="12" spans="1:7" ht="24" customHeight="1" x14ac:dyDescent="0.25">
      <c r="B12" s="64" t="s">
        <v>11</v>
      </c>
      <c r="C12" s="68">
        <v>1</v>
      </c>
      <c r="D12" s="110"/>
      <c r="E12" s="109"/>
    </row>
    <row r="13" spans="1:7" ht="24" customHeight="1" x14ac:dyDescent="0.25">
      <c r="B13" s="64" t="s">
        <v>12</v>
      </c>
      <c r="C13" s="68">
        <v>0</v>
      </c>
      <c r="D13" s="110" t="s">
        <v>13</v>
      </c>
      <c r="E13" s="109"/>
    </row>
    <row r="14" spans="1:7" ht="24" customHeight="1" x14ac:dyDescent="0.25">
      <c r="B14" s="64" t="s">
        <v>14</v>
      </c>
      <c r="C14" s="68">
        <v>0</v>
      </c>
      <c r="D14" s="110" t="s">
        <v>15</v>
      </c>
      <c r="E14" s="109"/>
    </row>
    <row r="15" spans="1:7" ht="24" customHeight="1" x14ac:dyDescent="0.25">
      <c r="B15" s="64" t="s">
        <v>16</v>
      </c>
      <c r="C15" s="67">
        <v>0</v>
      </c>
      <c r="D15" s="110" t="s">
        <v>17</v>
      </c>
      <c r="E15" s="109"/>
    </row>
    <row r="17" spans="1:6" ht="20.100000000000001" customHeight="1" x14ac:dyDescent="0.25">
      <c r="B17" s="144" t="s">
        <v>18</v>
      </c>
      <c r="C17" s="109"/>
      <c r="D17" s="109"/>
      <c r="E17" s="109"/>
    </row>
    <row r="18" spans="1:6" ht="21.95" customHeight="1" x14ac:dyDescent="0.25">
      <c r="B18" s="64" t="s">
        <v>19</v>
      </c>
      <c r="C18" s="70">
        <f>C12*365+C13*30+C14</f>
        <v>365</v>
      </c>
    </row>
    <row r="19" spans="1:6" ht="21.95" customHeight="1" x14ac:dyDescent="0.25">
      <c r="B19" s="60" t="s">
        <v>20</v>
      </c>
      <c r="C19" s="71">
        <f>IF(C9&gt;0,(1+C9)^365-1,0)</f>
        <v>1.9842867621081113</v>
      </c>
    </row>
    <row r="20" spans="1:6" ht="21.95" customHeight="1" x14ac:dyDescent="0.25">
      <c r="B20" s="60" t="s">
        <v>21</v>
      </c>
      <c r="C20" s="61">
        <f>IF(C15&gt;0,C8*(1+C9)^C18+C15*((1+C9)^C18-1)/((1+C9)^30-1)*((1+C9)^30-1),C8*(1+C9)^C18)</f>
        <v>2238.2150715810835</v>
      </c>
    </row>
    <row r="21" spans="1:6" ht="21.95" customHeight="1" x14ac:dyDescent="0.25">
      <c r="B21" s="60" t="s">
        <v>22</v>
      </c>
      <c r="C21" s="62">
        <f>IF(C20&gt;0,C20-C8-C15*MAX(0,INT(C18/30)),0)</f>
        <v>1488.2150715810835</v>
      </c>
    </row>
    <row r="22" spans="1:6" ht="21.95" customHeight="1" x14ac:dyDescent="0.25">
      <c r="B22" s="60" t="s">
        <v>23</v>
      </c>
      <c r="C22" s="72">
        <f>IF(C8&gt;0,(C20-C8)/C8,0)</f>
        <v>1.9842867621081113</v>
      </c>
    </row>
    <row r="24" spans="1:6" ht="20.100000000000001" customHeight="1" x14ac:dyDescent="0.25">
      <c r="B24" s="144" t="s">
        <v>24</v>
      </c>
      <c r="C24" s="109"/>
      <c r="D24" s="109"/>
      <c r="E24" s="109"/>
    </row>
    <row r="25" spans="1:6" ht="21.95" customHeight="1" x14ac:dyDescent="0.25">
      <c r="B25" s="64" t="s">
        <v>25</v>
      </c>
      <c r="C25" s="70">
        <f>C12*12+C13+ROUND(C14/30,0)</f>
        <v>12</v>
      </c>
    </row>
    <row r="26" spans="1:6" ht="20.100000000000001" customHeight="1" x14ac:dyDescent="0.25">
      <c r="B26" s="111" t="s">
        <v>26</v>
      </c>
      <c r="C26" s="109"/>
      <c r="D26" s="109"/>
      <c r="E26" s="109"/>
    </row>
    <row r="27" spans="1:6" ht="18" customHeight="1" x14ac:dyDescent="0.25">
      <c r="B27" s="116" t="s">
        <v>27</v>
      </c>
      <c r="C27" s="109"/>
      <c r="D27" s="109"/>
      <c r="E27" s="109"/>
    </row>
    <row r="28" spans="1:6" ht="24" customHeight="1" x14ac:dyDescent="0.25">
      <c r="B28" s="64" t="s">
        <v>28</v>
      </c>
      <c r="C28" s="68">
        <v>60</v>
      </c>
      <c r="D28" s="110" t="s">
        <v>29</v>
      </c>
      <c r="E28" s="109"/>
    </row>
    <row r="29" spans="1:6" ht="6" hidden="1" customHeight="1" x14ac:dyDescent="0.25">
      <c r="A29" s="86"/>
      <c r="B29" s="86"/>
      <c r="C29" s="86"/>
      <c r="D29" s="86"/>
      <c r="E29" s="86"/>
      <c r="F29" s="86"/>
    </row>
    <row r="30" spans="1:6" ht="21.95" customHeight="1" x14ac:dyDescent="0.25">
      <c r="B30" s="112" t="s">
        <v>30</v>
      </c>
      <c r="C30" s="109"/>
      <c r="D30" s="109"/>
      <c r="E30" s="109"/>
    </row>
    <row r="31" spans="1:6" ht="21.95" customHeight="1" x14ac:dyDescent="0.25">
      <c r="B31" s="114" t="s">
        <v>31</v>
      </c>
      <c r="C31" s="115"/>
      <c r="D31" s="115"/>
      <c r="E31" s="115"/>
    </row>
    <row r="32" spans="1:6" ht="21.95" customHeight="1" x14ac:dyDescent="0.25">
      <c r="B32" s="64" t="s">
        <v>32</v>
      </c>
      <c r="C32" s="87">
        <f>IF(ISNUMBER(C5*(1+C6)^C28),(C5*(1+C6)^C28)*C6,"")</f>
        <v>0</v>
      </c>
      <c r="D32" s="110" t="s">
        <v>33</v>
      </c>
      <c r="E32" s="109"/>
    </row>
    <row r="33" spans="1:6" ht="21.95" customHeight="1" x14ac:dyDescent="0.25">
      <c r="B33" s="64" t="s">
        <v>34</v>
      </c>
      <c r="C33" s="87">
        <f>IF(ISNUMBER(C5*(1+C6)^C28),(C5*(1+C6)^C28)*((1+C6)^7-1),"")</f>
        <v>0</v>
      </c>
      <c r="D33" s="110" t="s">
        <v>35</v>
      </c>
      <c r="E33" s="109"/>
    </row>
    <row r="34" spans="1:6" ht="21.95" customHeight="1" x14ac:dyDescent="0.25">
      <c r="B34" s="60" t="s">
        <v>36</v>
      </c>
      <c r="C34" s="62">
        <f>IF(ISNUMBER(C5*(1+C6)^C28),(C5*(1+C6)^C28)*((1+C6)^30-1),"")</f>
        <v>0</v>
      </c>
      <c r="D34" s="110" t="s">
        <v>37</v>
      </c>
      <c r="E34" s="109"/>
    </row>
    <row r="35" spans="1:6" ht="21.95" customHeight="1" x14ac:dyDescent="0.25">
      <c r="B35" s="60" t="s">
        <v>38</v>
      </c>
      <c r="C35" s="63">
        <f>IF(ISNUMBER(C5*(1+C6)^C28),(C5*(1+C6)^C28)*((1+C6)^365-1),"")</f>
        <v>0</v>
      </c>
      <c r="D35" s="110" t="s">
        <v>39</v>
      </c>
      <c r="E35" s="109"/>
    </row>
    <row r="36" spans="1:6" ht="21.95" customHeight="1" x14ac:dyDescent="0.25">
      <c r="B36" s="64" t="s">
        <v>40</v>
      </c>
      <c r="C36" s="88">
        <f>IF(C6&gt;0,(1+C6)^365-1,0)</f>
        <v>0</v>
      </c>
      <c r="D36" s="110" t="s">
        <v>41</v>
      </c>
      <c r="E36" s="109"/>
    </row>
    <row r="37" spans="1:6" ht="8.1" hidden="1" customHeight="1" x14ac:dyDescent="0.25">
      <c r="A37" s="86"/>
      <c r="B37" s="118"/>
      <c r="C37" s="109"/>
      <c r="D37" s="109"/>
      <c r="E37" s="109"/>
      <c r="F37" s="109"/>
    </row>
    <row r="38" spans="1:6" ht="44.1" customHeight="1" x14ac:dyDescent="0.25">
      <c r="B38" s="123" t="s">
        <v>42</v>
      </c>
      <c r="C38" s="121"/>
      <c r="D38" s="121"/>
      <c r="E38" s="122"/>
    </row>
    <row r="39" spans="1:6" ht="24" customHeight="1" x14ac:dyDescent="0.25">
      <c r="D39" s="109"/>
      <c r="E39" s="109"/>
    </row>
    <row r="40" spans="1:6" ht="24" hidden="1" customHeight="1" x14ac:dyDescent="0.25">
      <c r="D40" s="109"/>
      <c r="E40" s="109"/>
    </row>
    <row r="41" spans="1:6" hidden="1" x14ac:dyDescent="0.25"/>
    <row r="42" spans="1:6" ht="20.100000000000001" hidden="1" customHeight="1" x14ac:dyDescent="0.25">
      <c r="B42" s="109"/>
      <c r="C42" s="109"/>
      <c r="D42" s="109"/>
      <c r="E42" s="109"/>
      <c r="F42" s="109"/>
    </row>
    <row r="43" spans="1:6" ht="21.95" customHeight="1" x14ac:dyDescent="0.25"/>
    <row r="44" spans="1:6" ht="21.95" customHeight="1" x14ac:dyDescent="0.25">
      <c r="B44" s="60" t="s">
        <v>43</v>
      </c>
      <c r="C44" s="71">
        <f>IF(C10&gt;0,(1+C10)^12-1,0)</f>
        <v>2.8959759925469788</v>
      </c>
    </row>
    <row r="45" spans="1:6" ht="21.95" customHeight="1" x14ac:dyDescent="0.25">
      <c r="B45" s="60" t="s">
        <v>44</v>
      </c>
      <c r="C45" s="61">
        <f>IF(C15&gt;0,C8*(1+C10)^C25+C15*((1+C10)^C25-1)/C10,C8*(1+C10)^C25)</f>
        <v>2921.9819944102342</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84" t="s">
        <v>47</v>
      </c>
    </row>
    <row r="50" spans="2:7" ht="15.75" customHeight="1" x14ac:dyDescent="0.25">
      <c r="B50" s="64" t="s">
        <v>48</v>
      </c>
      <c r="C50" s="73">
        <f>C11</f>
        <v>0.2</v>
      </c>
    </row>
    <row r="51" spans="2:7" ht="20.100000000000001" customHeight="1" x14ac:dyDescent="0.25">
      <c r="B51" s="114" t="s">
        <v>49</v>
      </c>
      <c r="C51" s="115"/>
      <c r="D51" s="115"/>
      <c r="E51" s="115"/>
      <c r="F51" s="115"/>
      <c r="G51" s="115"/>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33.75" customHeight="1" x14ac:dyDescent="0.25">
      <c r="B55" s="74" t="s">
        <v>52</v>
      </c>
    </row>
    <row r="56" spans="2:7" ht="20.100000000000001" customHeight="1" x14ac:dyDescent="0.25">
      <c r="B56" s="64" t="s">
        <v>53</v>
      </c>
      <c r="C56" s="75">
        <v>46174</v>
      </c>
      <c r="D56" s="66" t="s">
        <v>54</v>
      </c>
    </row>
    <row r="57" spans="2:7" ht="20.100000000000001" customHeight="1" x14ac:dyDescent="0.25">
      <c r="B57" s="64" t="s">
        <v>55</v>
      </c>
      <c r="C57" s="67">
        <v>2500</v>
      </c>
      <c r="D57" s="66" t="s">
        <v>56</v>
      </c>
    </row>
    <row r="58" spans="2:7" ht="20.100000000000001" customHeight="1" x14ac:dyDescent="0.25">
      <c r="B58" s="64" t="s">
        <v>57</v>
      </c>
      <c r="C58" s="65" t="s">
        <v>181</v>
      </c>
      <c r="D58" s="66" t="s">
        <v>59</v>
      </c>
    </row>
    <row r="59" spans="2:7" ht="20.100000000000001" customHeight="1" x14ac:dyDescent="0.25"/>
    <row r="60" spans="2:7" ht="20.100000000000001"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8.6879279776409368E-3</v>
      </c>
    </row>
    <row r="64" spans="2:7" ht="20.100000000000001" customHeight="1" x14ac:dyDescent="0.25">
      <c r="B64" s="60" t="s">
        <v>64</v>
      </c>
      <c r="C64" s="62">
        <f>IF(ISNUMBER(C44),C44*((1+C9)^30-1),"")</f>
        <v>0.27229957228152291</v>
      </c>
    </row>
    <row r="65" spans="2:7" ht="31.5" customHeight="1" x14ac:dyDescent="0.25">
      <c r="B65" s="64" t="s">
        <v>65</v>
      </c>
      <c r="C65" s="77">
        <f>IF(ISNUMBER(C44),C44*((1+C9)^365-1),"")</f>
        <v>5.7464468253938685</v>
      </c>
    </row>
    <row r="66" spans="2:7" ht="110.1" customHeight="1" x14ac:dyDescent="0.25">
      <c r="B66" s="114" t="s">
        <v>66</v>
      </c>
      <c r="C66" s="115"/>
      <c r="D66" s="115"/>
      <c r="E66" s="115"/>
      <c r="F66" s="115"/>
      <c r="G66" s="115"/>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750</v>
      </c>
      <c r="D71" s="104">
        <f>IF(ISNUMBER(C71),C71*((1+C9)^30-1),0)</f>
        <v>70.520156153480002</v>
      </c>
      <c r="E71" s="79">
        <f>0</f>
        <v>0</v>
      </c>
      <c r="F71" s="105">
        <f t="shared" ref="F71:F82" si="0">C71+D71+E71</f>
        <v>820.52015615348</v>
      </c>
      <c r="G71" s="104">
        <f>D71</f>
        <v>70.520156153480002</v>
      </c>
    </row>
    <row r="72" spans="2:7" x14ac:dyDescent="0.25">
      <c r="B72" s="80">
        <v>2</v>
      </c>
      <c r="C72" s="81">
        <f t="shared" ref="C72:C82" si="1">F71</f>
        <v>820.52015615348</v>
      </c>
      <c r="D72" s="106">
        <f>IF(ISNUMBER(C72),C72*((1+C9)^30-1),0)</f>
        <v>77.150946052028274</v>
      </c>
      <c r="E72" s="81">
        <f>IF(C15&gt;0,C15,0)</f>
        <v>0</v>
      </c>
      <c r="F72" s="107">
        <f t="shared" si="0"/>
        <v>897.6711022055083</v>
      </c>
      <c r="G72" s="106">
        <f t="shared" ref="G72:G82" si="2">G71+D72</f>
        <v>147.67110220550828</v>
      </c>
    </row>
    <row r="73" spans="2:7" x14ac:dyDescent="0.25">
      <c r="B73" s="78">
        <v>3</v>
      </c>
      <c r="C73" s="79">
        <f t="shared" si="1"/>
        <v>897.6711022055083</v>
      </c>
      <c r="D73" s="104">
        <f>IF(ISNUMBER(C73),C73*((1+C9)^30-1),0)</f>
        <v>84.405208402665281</v>
      </c>
      <c r="E73" s="79">
        <f>IF(C15&gt;0,C15,0)</f>
        <v>0</v>
      </c>
      <c r="F73" s="105">
        <f t="shared" si="0"/>
        <v>982.07631060817357</v>
      </c>
      <c r="G73" s="104">
        <f t="shared" si="2"/>
        <v>232.07631060817357</v>
      </c>
    </row>
    <row r="74" spans="2:7" x14ac:dyDescent="0.25">
      <c r="B74" s="80">
        <v>4</v>
      </c>
      <c r="C74" s="81">
        <f t="shared" si="1"/>
        <v>982.07631060817357</v>
      </c>
      <c r="D74" s="106">
        <f>IF(ISNUMBER(C74),C74*((1+C9)^30-1),0)</f>
        <v>92.341566371629241</v>
      </c>
      <c r="E74" s="81">
        <f>IF(C15&gt;0,C15,0)</f>
        <v>0</v>
      </c>
      <c r="F74" s="107">
        <f t="shared" si="0"/>
        <v>1074.4178769798027</v>
      </c>
      <c r="G74" s="106">
        <f t="shared" si="2"/>
        <v>324.41787697980283</v>
      </c>
    </row>
    <row r="75" spans="2:7" x14ac:dyDescent="0.25">
      <c r="B75" s="78">
        <v>5</v>
      </c>
      <c r="C75" s="79">
        <f t="shared" si="1"/>
        <v>1074.4178769798027</v>
      </c>
      <c r="D75" s="104">
        <f>IF(ISNUMBER(C75),C75*((1+C9)^30-1),0)</f>
        <v>101.02415527827488</v>
      </c>
      <c r="E75" s="79">
        <f>IF(C15&gt;0,C15,0)</f>
        <v>0</v>
      </c>
      <c r="F75" s="105">
        <f t="shared" si="0"/>
        <v>1175.4420322580777</v>
      </c>
      <c r="G75" s="104">
        <f t="shared" si="2"/>
        <v>425.44203225807769</v>
      </c>
    </row>
    <row r="76" spans="2:7" x14ac:dyDescent="0.25">
      <c r="B76" s="80">
        <v>6</v>
      </c>
      <c r="C76" s="81">
        <f t="shared" si="1"/>
        <v>1175.4420322580777</v>
      </c>
      <c r="D76" s="106">
        <f>IF(ISNUMBER(C76),C76*((1+C9)^30-1),0)</f>
        <v>110.52314088560469</v>
      </c>
      <c r="E76" s="81">
        <f>IF(C15&gt;0,C15,0)</f>
        <v>0</v>
      </c>
      <c r="F76" s="107">
        <f t="shared" si="0"/>
        <v>1285.9651731436825</v>
      </c>
      <c r="G76" s="106">
        <f t="shared" si="2"/>
        <v>535.96517314368236</v>
      </c>
    </row>
    <row r="77" spans="2:7" x14ac:dyDescent="0.25">
      <c r="B77" s="78">
        <v>7</v>
      </c>
      <c r="C77" s="79">
        <f t="shared" si="1"/>
        <v>1285.9651731436825</v>
      </c>
      <c r="D77" s="104">
        <f>IF(ISNUMBER(C77),C77*((1+C9)^30-1),0)</f>
        <v>120.91528642403925</v>
      </c>
      <c r="E77" s="79">
        <f>IF(C15&gt;0,C15,0)</f>
        <v>0</v>
      </c>
      <c r="F77" s="105">
        <f t="shared" si="0"/>
        <v>1406.8804595677218</v>
      </c>
      <c r="G77" s="104">
        <f t="shared" si="2"/>
        <v>656.88045956772157</v>
      </c>
    </row>
    <row r="78" spans="2:7" x14ac:dyDescent="0.25">
      <c r="B78" s="80">
        <v>8</v>
      </c>
      <c r="C78" s="81">
        <f t="shared" si="1"/>
        <v>1406.8804595677218</v>
      </c>
      <c r="D78" s="106">
        <f>IF(ISNUMBER(C78),C78*((1+C9)^30-1),0)</f>
        <v>132.2845729306606</v>
      </c>
      <c r="E78" s="81">
        <f>IF(C15&gt;0,C15,0)</f>
        <v>0</v>
      </c>
      <c r="F78" s="107">
        <f t="shared" si="0"/>
        <v>1539.1650324983825</v>
      </c>
      <c r="G78" s="106">
        <f t="shared" si="2"/>
        <v>789.16503249838217</v>
      </c>
    </row>
    <row r="79" spans="2:7" x14ac:dyDescent="0.25">
      <c r="B79" s="78">
        <v>9</v>
      </c>
      <c r="C79" s="79">
        <f t="shared" si="1"/>
        <v>1539.1650324983825</v>
      </c>
      <c r="D79" s="104">
        <f>IF(ISNUMBER(C79),C79*((1+C9)^30-1),0)</f>
        <v>144.72287791701609</v>
      </c>
      <c r="E79" s="79">
        <f>IF(C15&gt;0,C15,0)</f>
        <v>0</v>
      </c>
      <c r="F79" s="105">
        <f t="shared" si="0"/>
        <v>1683.8879104153987</v>
      </c>
      <c r="G79" s="104">
        <f t="shared" si="2"/>
        <v>933.88791041539821</v>
      </c>
    </row>
    <row r="80" spans="2:7" x14ac:dyDescent="0.25">
      <c r="B80" s="80">
        <v>10</v>
      </c>
      <c r="C80" s="81">
        <f t="shared" si="1"/>
        <v>1683.8879104153987</v>
      </c>
      <c r="D80" s="106">
        <f>IF(ISNUMBER(C80),C80*((1+C9)^30-1),0)</f>
        <v>158.33071784993476</v>
      </c>
      <c r="E80" s="81">
        <f>IF(C15&gt;0,C15,0)</f>
        <v>0</v>
      </c>
      <c r="F80" s="107">
        <f t="shared" si="0"/>
        <v>1842.2186282653333</v>
      </c>
      <c r="G80" s="106">
        <f t="shared" si="2"/>
        <v>1092.2186282653329</v>
      </c>
    </row>
    <row r="81" spans="2:7" x14ac:dyDescent="0.25">
      <c r="B81" s="78">
        <v>11</v>
      </c>
      <c r="C81" s="79">
        <f t="shared" si="1"/>
        <v>1842.2186282653333</v>
      </c>
      <c r="D81" s="104">
        <f>IF(ISNUMBER(C81),C81*((1+C9)^30-1),0)</f>
        <v>173.21806044549473</v>
      </c>
      <c r="E81" s="79">
        <f>IF(C15&gt;0,C15,0)</f>
        <v>0</v>
      </c>
      <c r="F81" s="105">
        <f t="shared" si="0"/>
        <v>2015.4366887108281</v>
      </c>
      <c r="G81" s="104">
        <f t="shared" si="2"/>
        <v>1265.4366887108276</v>
      </c>
    </row>
    <row r="82" spans="2:7" x14ac:dyDescent="0.25">
      <c r="B82" s="80">
        <v>12</v>
      </c>
      <c r="C82" s="81">
        <f t="shared" si="1"/>
        <v>2015.4366887108281</v>
      </c>
      <c r="D82" s="106">
        <f>IF(ISNUMBER(C82),C82*((1+C9)^30-1),0)</f>
        <v>189.50521334045371</v>
      </c>
      <c r="E82" s="81">
        <f>IF(C15&gt;0,C15,0)</f>
        <v>0</v>
      </c>
      <c r="F82" s="107">
        <f t="shared" si="0"/>
        <v>2204.9419020512819</v>
      </c>
      <c r="G82" s="106">
        <f t="shared" si="2"/>
        <v>1454.9419020512814</v>
      </c>
    </row>
    <row r="84" spans="2:7" ht="110.1" customHeight="1" x14ac:dyDescent="0.25">
      <c r="B84" s="120" t="s">
        <v>75</v>
      </c>
      <c r="C84" s="121"/>
      <c r="D84" s="121"/>
      <c r="E84" s="121"/>
      <c r="F84" s="121"/>
      <c r="G84" s="122"/>
    </row>
  </sheetData>
  <mergeCells count="33">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10:E10"/>
    <mergeCell ref="D34:E34"/>
    <mergeCell ref="B6:E6"/>
    <mergeCell ref="B30:E30"/>
    <mergeCell ref="B24:E24"/>
  </mergeCells>
  <dataValidations count="1">
    <dataValidation type="list" allowBlank="1" showErrorMessage="1" errorTitle="Invalid Selection" error="Please choose: Daily, Weekly, Monthly, or Annually" sqref="C58" xr:uid="{00000000-0002-0000-0500-000000000000}">
      <formula1>"Daily,Weekly,Monthly,Annually"</formula1>
    </dataValidation>
  </dataValidations>
  <hyperlinks>
    <hyperlink ref="A2" r:id="rId1" xr:uid="{00000000-0004-0000-0500-000000000000}"/>
  </hyperlinks>
  <pageMargins left="0.75" right="0.75" top="1" bottom="1" header="0.5" footer="0.5"/>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1"/>
  <sheetViews>
    <sheetView workbookViewId="0">
      <selection activeCell="A37" sqref="A37:XFD37"/>
    </sheetView>
  </sheetViews>
  <sheetFormatPr defaultRowHeight="15" x14ac:dyDescent="0.25"/>
  <cols>
    <col min="1" max="1" width="1" customWidth="1"/>
    <col min="2" max="2" width="35.7109375" customWidth="1"/>
    <col min="3" max="3" width="20" customWidth="1"/>
    <col min="4" max="4" width="60.42578125" customWidth="1"/>
    <col min="5" max="5" width="28" customWidth="1"/>
    <col min="6" max="6" width="20.85546875" customWidth="1"/>
    <col min="7" max="7" width="19" customWidth="1"/>
    <col min="8" max="8" width="1" customWidth="1"/>
  </cols>
  <sheetData>
    <row r="1" spans="1:7" ht="36" customHeight="1" x14ac:dyDescent="0.25">
      <c r="A1" s="117" t="s">
        <v>0</v>
      </c>
      <c r="B1" s="109"/>
      <c r="C1" s="109"/>
      <c r="D1" s="109"/>
      <c r="E1" s="109"/>
      <c r="F1" s="109"/>
      <c r="G1" s="109"/>
    </row>
    <row r="2" spans="1:7" ht="15.95" customHeight="1" x14ac:dyDescent="0.25">
      <c r="A2" s="124" t="s">
        <v>1</v>
      </c>
      <c r="B2" s="109"/>
      <c r="C2" s="109"/>
      <c r="D2" s="109"/>
      <c r="E2" s="109"/>
      <c r="F2" s="109"/>
      <c r="G2" s="109"/>
    </row>
    <row r="4" spans="1:7" ht="24" customHeight="1" x14ac:dyDescent="0.25">
      <c r="B4" s="119" t="s">
        <v>2</v>
      </c>
      <c r="C4" s="109"/>
      <c r="D4" s="109"/>
      <c r="E4" s="109"/>
      <c r="F4" s="109"/>
      <c r="G4" s="109"/>
    </row>
    <row r="6" spans="1:7" ht="20.100000000000001" customHeight="1" x14ac:dyDescent="0.25">
      <c r="B6" s="111" t="s">
        <v>3</v>
      </c>
      <c r="C6" s="109"/>
      <c r="D6" s="109"/>
      <c r="E6" s="109"/>
    </row>
    <row r="7" spans="1:7" ht="24" customHeight="1" x14ac:dyDescent="0.25">
      <c r="B7" s="64" t="s">
        <v>4</v>
      </c>
      <c r="C7" s="65" t="s">
        <v>5</v>
      </c>
      <c r="D7" s="110"/>
      <c r="E7" s="109"/>
    </row>
    <row r="8" spans="1:7" ht="24" customHeight="1" x14ac:dyDescent="0.25">
      <c r="B8" s="64" t="s">
        <v>6</v>
      </c>
      <c r="C8" s="67">
        <v>7500</v>
      </c>
      <c r="D8" s="110" t="s">
        <v>7</v>
      </c>
      <c r="E8" s="109"/>
    </row>
    <row r="9" spans="1:7" ht="24" customHeight="1" x14ac:dyDescent="0.25">
      <c r="B9" s="64" t="s">
        <v>8</v>
      </c>
      <c r="C9" s="90">
        <v>5.4999999999999997E-3</v>
      </c>
      <c r="D9" s="108" t="str">
        <f>TEXT(C9*100,"0.000")&amp;"% daily (enter decimal: 0.35% = 0.0035)"</f>
        <v>0.550% daily (enter decimal: 0.35% = 0.0035)</v>
      </c>
      <c r="E9" s="109"/>
    </row>
    <row r="10" spans="1:7" ht="24" customHeight="1" x14ac:dyDescent="0.25">
      <c r="B10" s="64" t="s">
        <v>9</v>
      </c>
      <c r="C10" s="91"/>
      <c r="D10" s="108" t="str">
        <f>TEXT(C10*100,"0.00")&amp;"% monthly (enter decimal: 5% = 0.05)"</f>
        <v>0.00% monthly (enter decimal: 5% = 0.05)</v>
      </c>
      <c r="E10" s="109"/>
    </row>
    <row r="11" spans="1:7" ht="24" customHeight="1" x14ac:dyDescent="0.25">
      <c r="B11" s="64" t="s">
        <v>10</v>
      </c>
      <c r="C11" s="91"/>
      <c r="D11" s="108" t="str">
        <f>TEXT(C11*100,"0.00")&amp;"% annually (enter decimal: 20% = 0.20)"</f>
        <v>0.00% annually (enter decimal: 20% = 0.20)</v>
      </c>
      <c r="E11" s="109"/>
    </row>
    <row r="12" spans="1:7" ht="24" customHeight="1" x14ac:dyDescent="0.25">
      <c r="B12" s="64" t="s">
        <v>11</v>
      </c>
      <c r="C12" s="68">
        <v>1</v>
      </c>
      <c r="D12" s="110"/>
      <c r="E12" s="109"/>
    </row>
    <row r="13" spans="1:7" ht="24" customHeight="1" x14ac:dyDescent="0.25">
      <c r="B13" s="64" t="s">
        <v>12</v>
      </c>
      <c r="C13" s="68">
        <v>6</v>
      </c>
      <c r="D13" s="110" t="s">
        <v>13</v>
      </c>
      <c r="E13" s="109"/>
    </row>
    <row r="14" spans="1:7" ht="24" customHeight="1" x14ac:dyDescent="0.25">
      <c r="B14" s="64" t="s">
        <v>14</v>
      </c>
      <c r="C14" s="68">
        <v>10</v>
      </c>
      <c r="D14" s="110" t="s">
        <v>15</v>
      </c>
      <c r="E14" s="109"/>
    </row>
    <row r="15" spans="1:7" ht="24" customHeight="1" x14ac:dyDescent="0.25">
      <c r="B15" s="64" t="s">
        <v>16</v>
      </c>
      <c r="C15" s="67">
        <v>0</v>
      </c>
      <c r="D15" s="110" t="s">
        <v>17</v>
      </c>
      <c r="E15" s="109"/>
    </row>
    <row r="17" spans="1:6" ht="20.100000000000001" customHeight="1" x14ac:dyDescent="0.25">
      <c r="B17" s="113" t="s">
        <v>18</v>
      </c>
      <c r="C17" s="109"/>
      <c r="D17" s="109"/>
      <c r="E17" s="109"/>
    </row>
    <row r="18" spans="1:6" ht="21.95" customHeight="1" x14ac:dyDescent="0.25">
      <c r="B18" s="64" t="s">
        <v>19</v>
      </c>
      <c r="C18" s="70">
        <f>C12*365+C13*30+C14</f>
        <v>555</v>
      </c>
    </row>
    <row r="19" spans="1:6" ht="21.95" customHeight="1" x14ac:dyDescent="0.25">
      <c r="B19" s="60" t="s">
        <v>20</v>
      </c>
      <c r="C19" s="71">
        <f>IF(C9&gt;0,(1+C9)^365-1,0)</f>
        <v>6.4038455500743998</v>
      </c>
    </row>
    <row r="20" spans="1:6" ht="21.95" customHeight="1" x14ac:dyDescent="0.25">
      <c r="B20" s="60" t="s">
        <v>21</v>
      </c>
      <c r="C20" s="61">
        <f>IF(C15&gt;0,C8*(1+C9)^C18+C15*((1+C9)^C18-1)/((1+C9)^30-1)*((1+C9)^30-1),C8*(1+C9)^C18)</f>
        <v>157439.19157987766</v>
      </c>
    </row>
    <row r="21" spans="1:6" ht="21.95" customHeight="1" x14ac:dyDescent="0.25">
      <c r="B21" s="60" t="s">
        <v>22</v>
      </c>
      <c r="C21" s="62">
        <f>IF(C20&gt;0,C20-C8-C15*MAX(0,INT(C18/30)),0)</f>
        <v>149939.19157987766</v>
      </c>
    </row>
    <row r="22" spans="1:6" ht="21.95" customHeight="1" x14ac:dyDescent="0.25">
      <c r="B22" s="60" t="s">
        <v>23</v>
      </c>
      <c r="C22" s="72">
        <f>IF(C8&gt;0,(C20-C8)/C8,0)</f>
        <v>19.991892210650356</v>
      </c>
    </row>
    <row r="24" spans="1:6" ht="20.100000000000001" customHeight="1" x14ac:dyDescent="0.25">
      <c r="B24" s="113" t="s">
        <v>24</v>
      </c>
      <c r="C24" s="109"/>
      <c r="D24" s="109"/>
      <c r="E24" s="109"/>
    </row>
    <row r="25" spans="1:6" ht="21.95" customHeight="1" x14ac:dyDescent="0.25">
      <c r="B25" s="64" t="s">
        <v>25</v>
      </c>
      <c r="C25" s="70">
        <f>C12*12+C13+ROUND(C14/30,0)</f>
        <v>18</v>
      </c>
    </row>
    <row r="26" spans="1:6" ht="20.100000000000001" customHeight="1" x14ac:dyDescent="0.25">
      <c r="B26" s="111" t="s">
        <v>26</v>
      </c>
      <c r="C26" s="109"/>
      <c r="D26" s="109"/>
      <c r="E26" s="109"/>
    </row>
    <row r="27" spans="1:6" ht="18" customHeight="1" x14ac:dyDescent="0.25">
      <c r="B27" s="116" t="s">
        <v>27</v>
      </c>
      <c r="C27" s="109"/>
      <c r="D27" s="109"/>
      <c r="E27" s="109"/>
    </row>
    <row r="28" spans="1:6" ht="24" customHeight="1" x14ac:dyDescent="0.25">
      <c r="B28" s="64" t="s">
        <v>28</v>
      </c>
      <c r="C28" s="68">
        <v>180</v>
      </c>
      <c r="D28" s="110" t="s">
        <v>29</v>
      </c>
      <c r="E28" s="109"/>
    </row>
    <row r="29" spans="1:6" ht="6" hidden="1" customHeight="1" x14ac:dyDescent="0.25">
      <c r="A29" s="86"/>
      <c r="B29" s="86"/>
      <c r="C29" s="86"/>
      <c r="D29" s="86"/>
      <c r="E29" s="86"/>
      <c r="F29" s="86"/>
    </row>
    <row r="30" spans="1:6" ht="21.95" customHeight="1" x14ac:dyDescent="0.25">
      <c r="B30" s="112" t="s">
        <v>30</v>
      </c>
      <c r="C30" s="109"/>
      <c r="D30" s="109"/>
      <c r="E30" s="109"/>
    </row>
    <row r="31" spans="1:6" ht="21.95" customHeight="1" x14ac:dyDescent="0.25">
      <c r="B31" s="114" t="s">
        <v>31</v>
      </c>
      <c r="C31" s="115"/>
      <c r="D31" s="115"/>
      <c r="E31" s="115"/>
    </row>
    <row r="32" spans="1:6" ht="21.95" customHeight="1" x14ac:dyDescent="0.25">
      <c r="B32" s="64" t="s">
        <v>32</v>
      </c>
      <c r="C32" s="87">
        <f>IF(ISNUMBER(C5*(1+C6)^C28),(C5*(1+C6)^C28)*C6,"")</f>
        <v>0</v>
      </c>
      <c r="D32" s="110" t="s">
        <v>33</v>
      </c>
      <c r="E32" s="109"/>
    </row>
    <row r="33" spans="1:7" ht="21.95" customHeight="1" x14ac:dyDescent="0.25">
      <c r="B33" s="64" t="s">
        <v>34</v>
      </c>
      <c r="C33" s="87">
        <f>IF(ISNUMBER(C5*(1+C6)^C28),(C5*(1+C6)^C28)*((1+C6)^7-1),"")</f>
        <v>0</v>
      </c>
      <c r="D33" s="110" t="s">
        <v>35</v>
      </c>
      <c r="E33" s="109"/>
    </row>
    <row r="34" spans="1:7" ht="21.95" customHeight="1" x14ac:dyDescent="0.25">
      <c r="B34" s="60" t="s">
        <v>36</v>
      </c>
      <c r="C34" s="62">
        <f>IF(ISNUMBER(C5*(1+C6)^C28),(C5*(1+C6)^C28)*((1+C6)^30-1),"")</f>
        <v>0</v>
      </c>
      <c r="D34" s="110" t="s">
        <v>37</v>
      </c>
      <c r="E34" s="109"/>
    </row>
    <row r="35" spans="1:7" ht="21.95" customHeight="1" x14ac:dyDescent="0.25">
      <c r="B35" s="60" t="s">
        <v>38</v>
      </c>
      <c r="C35" s="63">
        <f>IF(ISNUMBER(C5*(1+C6)^C28),(C5*(1+C6)^C28)*((1+C6)^365-1),"")</f>
        <v>0</v>
      </c>
      <c r="D35" s="110" t="s">
        <v>39</v>
      </c>
      <c r="E35" s="109"/>
    </row>
    <row r="36" spans="1:7" ht="21.95" customHeight="1" x14ac:dyDescent="0.25">
      <c r="B36" s="64" t="s">
        <v>40</v>
      </c>
      <c r="C36" s="88">
        <f>IF(C6&gt;0,(1+C6)^365-1,0)</f>
        <v>0</v>
      </c>
      <c r="D36" s="110" t="s">
        <v>41</v>
      </c>
      <c r="E36" s="109"/>
    </row>
    <row r="37" spans="1:7" ht="8.1" hidden="1" customHeight="1" x14ac:dyDescent="0.25">
      <c r="A37" s="86"/>
      <c r="B37" s="118"/>
      <c r="C37" s="109"/>
      <c r="D37" s="109"/>
      <c r="E37" s="109"/>
      <c r="F37" s="109"/>
    </row>
    <row r="38" spans="1:7" ht="44.1" customHeight="1" x14ac:dyDescent="0.25">
      <c r="B38" s="123" t="s">
        <v>42</v>
      </c>
      <c r="C38" s="121"/>
      <c r="D38" s="121"/>
      <c r="E38" s="122"/>
    </row>
    <row r="39" spans="1:7" ht="24" customHeight="1" x14ac:dyDescent="0.25">
      <c r="D39" s="109"/>
      <c r="E39" s="109"/>
    </row>
    <row r="40" spans="1:7" ht="21.95" customHeight="1" x14ac:dyDescent="0.25"/>
    <row r="41" spans="1:7" ht="21.95" customHeight="1" x14ac:dyDescent="0.25">
      <c r="B41" s="60" t="s">
        <v>43</v>
      </c>
      <c r="C41" s="71">
        <f>IF(C10&gt;0,(1+C10)^12-1,0)</f>
        <v>0</v>
      </c>
    </row>
    <row r="42" spans="1:7" ht="21.95" customHeight="1" x14ac:dyDescent="0.25">
      <c r="B42" s="60" t="s">
        <v>44</v>
      </c>
      <c r="C42" s="61">
        <f>IF(C15&gt;0,C8*(1+C10)^C25+C15*((1+C10)^C25-1)/C10,C8*(1+C10)^C25)</f>
        <v>7500</v>
      </c>
    </row>
    <row r="43" spans="1:7" ht="21.95" customHeight="1" x14ac:dyDescent="0.25">
      <c r="B43" s="60" t="s">
        <v>45</v>
      </c>
      <c r="C43" s="62">
        <f>IF(C27&gt;0,C27-C8-C15*MAX(0,C25-1),0)</f>
        <v>0</v>
      </c>
    </row>
    <row r="44" spans="1:7" ht="21.95" customHeight="1" x14ac:dyDescent="0.25">
      <c r="B44" s="60" t="s">
        <v>46</v>
      </c>
      <c r="C44" s="72">
        <f>IF(C8&gt;0,(C27-C8)/C8,0)</f>
        <v>-1</v>
      </c>
    </row>
    <row r="45" spans="1:7" ht="21.95" customHeight="1" x14ac:dyDescent="0.25"/>
    <row r="46" spans="1:7" ht="21.95" customHeight="1" x14ac:dyDescent="0.25">
      <c r="B46" s="85" t="s">
        <v>47</v>
      </c>
    </row>
    <row r="47" spans="1:7" ht="15.75" customHeight="1" x14ac:dyDescent="0.25">
      <c r="B47" s="64" t="s">
        <v>48</v>
      </c>
      <c r="C47" s="73">
        <f>C11</f>
        <v>0</v>
      </c>
    </row>
    <row r="48" spans="1:7" ht="20.100000000000001" customHeight="1" x14ac:dyDescent="0.25">
      <c r="B48" s="114" t="s">
        <v>49</v>
      </c>
      <c r="C48" s="115"/>
      <c r="D48" s="115"/>
      <c r="E48" s="115"/>
      <c r="F48" s="115"/>
      <c r="G48" s="115"/>
    </row>
    <row r="49" spans="2:7" ht="21.95" customHeight="1" x14ac:dyDescent="0.25">
      <c r="B49" s="60" t="s">
        <v>50</v>
      </c>
      <c r="C49" s="62">
        <f>IF(C33&gt;0,C33-C8-C15*C12,0)</f>
        <v>0</v>
      </c>
    </row>
    <row r="50" spans="2:7" ht="20.100000000000001" customHeight="1" x14ac:dyDescent="0.25">
      <c r="B50" s="60" t="s">
        <v>51</v>
      </c>
      <c r="C50" s="72">
        <f>IF(C8&gt;0,(C33-C8)/C8,0)</f>
        <v>-1</v>
      </c>
    </row>
    <row r="51" spans="2:7" ht="20.100000000000001" customHeight="1" x14ac:dyDescent="0.25"/>
    <row r="52" spans="2:7" ht="36.75" customHeight="1" x14ac:dyDescent="0.25">
      <c r="B52" s="74" t="s">
        <v>52</v>
      </c>
    </row>
    <row r="53" spans="2:7" ht="20.100000000000001" customHeight="1" x14ac:dyDescent="0.25">
      <c r="B53" s="64" t="s">
        <v>53</v>
      </c>
      <c r="C53" s="75">
        <v>46295</v>
      </c>
      <c r="D53" s="66" t="s">
        <v>54</v>
      </c>
    </row>
    <row r="54" spans="2:7" ht="20.100000000000001" customHeight="1" x14ac:dyDescent="0.25">
      <c r="B54" s="64" t="s">
        <v>55</v>
      </c>
      <c r="C54" s="67">
        <v>1500</v>
      </c>
      <c r="D54" s="66" t="s">
        <v>56</v>
      </c>
    </row>
    <row r="55" spans="2:7" ht="20.100000000000001" customHeight="1" x14ac:dyDescent="0.25">
      <c r="B55" s="64" t="s">
        <v>57</v>
      </c>
      <c r="C55" s="65" t="s">
        <v>58</v>
      </c>
      <c r="D55" s="66" t="s">
        <v>59</v>
      </c>
    </row>
    <row r="56" spans="2:7" ht="20.100000000000001" customHeight="1" x14ac:dyDescent="0.25"/>
    <row r="57" spans="2:7" ht="20.100000000000001" customHeight="1" x14ac:dyDescent="0.25">
      <c r="B57" s="1" t="s">
        <v>60</v>
      </c>
    </row>
    <row r="58" spans="2:7" ht="20.100000000000001" customHeight="1" x14ac:dyDescent="0.25">
      <c r="B58" s="64" t="s">
        <v>61</v>
      </c>
      <c r="C58" s="76" t="str">
        <f ca="1">IF(AND(ISNUMBER(C38),C38&gt;0),MAX(0,C38-TODAY()),"")</f>
        <v/>
      </c>
    </row>
    <row r="59" spans="2:7" ht="20.100000000000001" customHeight="1" x14ac:dyDescent="0.25">
      <c r="B59" s="60" t="s">
        <v>62</v>
      </c>
      <c r="C59" s="61" t="str">
        <f>IF(ISNUMBER(C40),C8*(1+C9)^C40,"")</f>
        <v/>
      </c>
    </row>
    <row r="60" spans="2:7" ht="20.100000000000001" customHeight="1" x14ac:dyDescent="0.25">
      <c r="B60" s="64" t="s">
        <v>63</v>
      </c>
      <c r="C60" s="77">
        <f>IF(ISNUMBER(C41),C41*C9,"")</f>
        <v>0</v>
      </c>
    </row>
    <row r="61" spans="2:7" ht="20.100000000000001" customHeight="1" x14ac:dyDescent="0.25">
      <c r="B61" s="60" t="s">
        <v>64</v>
      </c>
      <c r="C61" s="62">
        <f>IF(ISNUMBER(C41),C41*((1+C9)^30-1),"")</f>
        <v>0</v>
      </c>
    </row>
    <row r="62" spans="2:7" ht="31.5" customHeight="1" x14ac:dyDescent="0.25">
      <c r="B62" s="64" t="s">
        <v>65</v>
      </c>
      <c r="C62" s="77">
        <f>IF(ISNUMBER(C41),C41*((1+C9)^365-1),"")</f>
        <v>0</v>
      </c>
    </row>
    <row r="63" spans="2:7" ht="110.1" customHeight="1" x14ac:dyDescent="0.25">
      <c r="B63" s="114" t="s">
        <v>66</v>
      </c>
      <c r="C63" s="115"/>
      <c r="D63" s="115"/>
      <c r="E63" s="115"/>
      <c r="F63" s="115"/>
      <c r="G63" s="115"/>
    </row>
    <row r="64" spans="2:7" ht="31.5" customHeight="1" x14ac:dyDescent="0.25">
      <c r="B64" s="60" t="s">
        <v>67</v>
      </c>
      <c r="C64" s="61" t="str">
        <f>IF(AND(ISNUMBER(C41),C39&gt;0),MAX(0,C41-C39*C18),"")</f>
        <v/>
      </c>
    </row>
    <row r="66" spans="2:7" ht="30" customHeight="1" x14ac:dyDescent="0.25">
      <c r="B66" s="1" t="s">
        <v>68</v>
      </c>
    </row>
    <row r="67" spans="2:7" ht="225" customHeight="1" x14ac:dyDescent="0.25">
      <c r="B67" s="2" t="s">
        <v>69</v>
      </c>
      <c r="C67" s="2" t="s">
        <v>70</v>
      </c>
      <c r="D67" s="2" t="s">
        <v>71</v>
      </c>
      <c r="E67" s="2" t="s">
        <v>72</v>
      </c>
      <c r="F67" s="2" t="s">
        <v>73</v>
      </c>
      <c r="G67" s="2" t="s">
        <v>74</v>
      </c>
    </row>
    <row r="68" spans="2:7" x14ac:dyDescent="0.25">
      <c r="B68" s="78">
        <v>1</v>
      </c>
      <c r="C68" s="79">
        <f>C8</f>
        <v>7500</v>
      </c>
      <c r="D68" s="104">
        <f>IF(ISNUMBER(C68),C68*((1+C9)^30-1),0)</f>
        <v>1341.4503281191769</v>
      </c>
      <c r="E68" s="79">
        <f>0</f>
        <v>0</v>
      </c>
      <c r="F68" s="105">
        <f t="shared" ref="F68:F79" si="0">C68+D68+E68</f>
        <v>8841.4503281191774</v>
      </c>
      <c r="G68" s="104">
        <f>D68</f>
        <v>1341.4503281191769</v>
      </c>
    </row>
    <row r="69" spans="2:7" x14ac:dyDescent="0.25">
      <c r="B69" s="80">
        <v>2</v>
      </c>
      <c r="C69" s="81">
        <f t="shared" ref="C69:C79" si="1">F68</f>
        <v>8841.4503281191774</v>
      </c>
      <c r="D69" s="106">
        <f>IF(ISNUMBER(C69),C69*((1+C9)^30-1),0)</f>
        <v>1581.3821924939834</v>
      </c>
      <c r="E69" s="81">
        <f>IF(C15&gt;0,C15,0)</f>
        <v>0</v>
      </c>
      <c r="F69" s="107">
        <f t="shared" si="0"/>
        <v>10422.832520613161</v>
      </c>
      <c r="G69" s="106">
        <f t="shared" ref="G69:G79" si="2">G68+D69</f>
        <v>2922.8325206131603</v>
      </c>
    </row>
    <row r="70" spans="2:7" x14ac:dyDescent="0.25">
      <c r="B70" s="78">
        <v>3</v>
      </c>
      <c r="C70" s="79">
        <f t="shared" si="1"/>
        <v>10422.832520613161</v>
      </c>
      <c r="D70" s="104">
        <f>IF(ISNUMBER(C70),C70*((1+C9)^30-1),0)</f>
        <v>1864.2282806277005</v>
      </c>
      <c r="E70" s="79">
        <f>IF(C15&gt;0,C15,0)</f>
        <v>0</v>
      </c>
      <c r="F70" s="105">
        <f t="shared" si="0"/>
        <v>12287.060801240861</v>
      </c>
      <c r="G70" s="104">
        <f t="shared" si="2"/>
        <v>4787.0608012408611</v>
      </c>
    </row>
    <row r="71" spans="2:7" x14ac:dyDescent="0.25">
      <c r="B71" s="80">
        <v>4</v>
      </c>
      <c r="C71" s="81">
        <f t="shared" si="1"/>
        <v>12287.060801240861</v>
      </c>
      <c r="D71" s="106">
        <f>IF(ISNUMBER(C71),C71*((1+C9)^30-1),0)</f>
        <v>2197.6642324593108</v>
      </c>
      <c r="E71" s="81">
        <f>IF(C15&gt;0,C15,0)</f>
        <v>0</v>
      </c>
      <c r="F71" s="107">
        <f t="shared" si="0"/>
        <v>14484.725033700171</v>
      </c>
      <c r="G71" s="106">
        <f t="shared" si="2"/>
        <v>6984.7250337001715</v>
      </c>
    </row>
    <row r="72" spans="2:7" x14ac:dyDescent="0.25">
      <c r="B72" s="78">
        <v>5</v>
      </c>
      <c r="C72" s="79">
        <f t="shared" si="1"/>
        <v>14484.725033700171</v>
      </c>
      <c r="D72" s="104">
        <f>IF(ISNUMBER(C72),C72*((1+C9)^30-1),0)</f>
        <v>2590.7385532230869</v>
      </c>
      <c r="E72" s="79">
        <f>IF(C15&gt;0,C15,0)</f>
        <v>0</v>
      </c>
      <c r="F72" s="105">
        <f t="shared" si="0"/>
        <v>17075.463586923259</v>
      </c>
      <c r="G72" s="104">
        <f t="shared" si="2"/>
        <v>9575.4635869232588</v>
      </c>
    </row>
    <row r="73" spans="2:7" x14ac:dyDescent="0.25">
      <c r="B73" s="80">
        <v>6</v>
      </c>
      <c r="C73" s="81">
        <f t="shared" si="1"/>
        <v>17075.463586923259</v>
      </c>
      <c r="D73" s="106">
        <f>IF(ISNUMBER(C73),C73*((1+C9)^30-1),0)</f>
        <v>3054.1181641953685</v>
      </c>
      <c r="E73" s="81">
        <f>IF(C15&gt;0,C15,0)</f>
        <v>0</v>
      </c>
      <c r="F73" s="107">
        <f t="shared" si="0"/>
        <v>20129.581751118629</v>
      </c>
      <c r="G73" s="106">
        <f t="shared" si="2"/>
        <v>12629.581751118627</v>
      </c>
    </row>
    <row r="74" spans="2:7" x14ac:dyDescent="0.25">
      <c r="B74" s="78">
        <v>7</v>
      </c>
      <c r="C74" s="79">
        <f t="shared" si="1"/>
        <v>20129.581751118629</v>
      </c>
      <c r="D74" s="104">
        <f>IF(ISNUMBER(C74),C74*((1+C9)^30-1),0)</f>
        <v>3600.3778726586511</v>
      </c>
      <c r="E74" s="79">
        <f>IF(C15&gt;0,C15,0)</f>
        <v>0</v>
      </c>
      <c r="F74" s="105">
        <f t="shared" si="0"/>
        <v>23729.959623777278</v>
      </c>
      <c r="G74" s="104">
        <f t="shared" si="2"/>
        <v>16229.959623777278</v>
      </c>
    </row>
    <row r="75" spans="2:7" x14ac:dyDescent="0.25">
      <c r="B75" s="80">
        <v>8</v>
      </c>
      <c r="C75" s="81">
        <f t="shared" si="1"/>
        <v>23729.959623777278</v>
      </c>
      <c r="D75" s="106">
        <f>IF(ISNUMBER(C75),C75*((1+C9)^30-1),0)</f>
        <v>4244.3416164761138</v>
      </c>
      <c r="E75" s="81">
        <f>IF(C15&gt;0,C15,0)</f>
        <v>0</v>
      </c>
      <c r="F75" s="107">
        <f t="shared" si="0"/>
        <v>27974.301240253393</v>
      </c>
      <c r="G75" s="106">
        <f t="shared" si="2"/>
        <v>20474.301240253393</v>
      </c>
    </row>
    <row r="76" spans="2:7" x14ac:dyDescent="0.25">
      <c r="B76" s="78">
        <v>9</v>
      </c>
      <c r="C76" s="79">
        <f t="shared" si="1"/>
        <v>27974.301240253393</v>
      </c>
      <c r="D76" s="104">
        <f>IF(ISNUMBER(C76),C76*((1+C9)^30-1),0)</f>
        <v>5003.4847436856817</v>
      </c>
      <c r="E76" s="79">
        <f>IF(C15&gt;0,C15,0)</f>
        <v>0</v>
      </c>
      <c r="F76" s="105">
        <f t="shared" si="0"/>
        <v>32977.785983939073</v>
      </c>
      <c r="G76" s="104">
        <f t="shared" si="2"/>
        <v>25477.785983939073</v>
      </c>
    </row>
    <row r="77" spans="2:7" x14ac:dyDescent="0.25">
      <c r="B77" s="80">
        <v>10</v>
      </c>
      <c r="C77" s="81">
        <f t="shared" si="1"/>
        <v>32977.785983939073</v>
      </c>
      <c r="D77" s="106">
        <f>IF(ISNUMBER(C77),C77*((1+C9)^30-1),0)</f>
        <v>5898.4082438398755</v>
      </c>
      <c r="E77" s="81">
        <f>IF(C15&gt;0,C15,0)</f>
        <v>0</v>
      </c>
      <c r="F77" s="107">
        <f t="shared" si="0"/>
        <v>38876.194227778949</v>
      </c>
      <c r="G77" s="106">
        <f t="shared" si="2"/>
        <v>31376.194227778949</v>
      </c>
    </row>
    <row r="78" spans="2:7" x14ac:dyDescent="0.25">
      <c r="B78" s="78">
        <v>11</v>
      </c>
      <c r="C78" s="79">
        <f t="shared" si="1"/>
        <v>38876.194227778949</v>
      </c>
      <c r="D78" s="104">
        <f>IF(ISNUMBER(C78),C78*((1+C9)^30-1),0)</f>
        <v>6953.3978003838565</v>
      </c>
      <c r="E78" s="79">
        <f>IF(C15&gt;0,C15,0)</f>
        <v>0</v>
      </c>
      <c r="F78" s="105">
        <f t="shared" si="0"/>
        <v>45829.592028162806</v>
      </c>
      <c r="G78" s="104">
        <f t="shared" si="2"/>
        <v>38329.592028162806</v>
      </c>
    </row>
    <row r="79" spans="2:7" x14ac:dyDescent="0.25">
      <c r="B79" s="80">
        <v>12</v>
      </c>
      <c r="C79" s="81">
        <f t="shared" si="1"/>
        <v>45829.592028162806</v>
      </c>
      <c r="D79" s="106">
        <f>IF(ISNUMBER(C79),C79*((1+C9)^30-1),0)</f>
        <v>8197.0828351662676</v>
      </c>
      <c r="E79" s="81">
        <f>IF(C15&gt;0,C15,0)</f>
        <v>0</v>
      </c>
      <c r="F79" s="107">
        <f t="shared" si="0"/>
        <v>54026.67486332907</v>
      </c>
      <c r="G79" s="106">
        <f t="shared" si="2"/>
        <v>46526.67486332907</v>
      </c>
    </row>
    <row r="81" spans="2:7" ht="110.1" customHeight="1" x14ac:dyDescent="0.25">
      <c r="B81" s="120" t="s">
        <v>75</v>
      </c>
      <c r="C81" s="121"/>
      <c r="D81" s="121"/>
      <c r="E81" s="121"/>
      <c r="F81" s="121"/>
      <c r="G81" s="122"/>
    </row>
  </sheetData>
  <mergeCells count="31">
    <mergeCell ref="B81:G81"/>
    <mergeCell ref="D15:E15"/>
    <mergeCell ref="D33:E33"/>
    <mergeCell ref="B38:E38"/>
    <mergeCell ref="D14:E14"/>
    <mergeCell ref="B48:G48"/>
    <mergeCell ref="D35:E35"/>
    <mergeCell ref="A1:G1"/>
    <mergeCell ref="D7:E7"/>
    <mergeCell ref="B63:G63"/>
    <mergeCell ref="B37:F37"/>
    <mergeCell ref="B4:G4"/>
    <mergeCell ref="D28:E28"/>
    <mergeCell ref="D9:E9"/>
    <mergeCell ref="D12:E12"/>
    <mergeCell ref="D39:E39"/>
    <mergeCell ref="D8:E8"/>
    <mergeCell ref="B17:E17"/>
    <mergeCell ref="A2:G2"/>
    <mergeCell ref="D36:E36"/>
    <mergeCell ref="B26:E26"/>
    <mergeCell ref="D11:E11"/>
    <mergeCell ref="D13:E13"/>
    <mergeCell ref="D32:E32"/>
    <mergeCell ref="B31:E31"/>
    <mergeCell ref="B27:E27"/>
    <mergeCell ref="D10:E10"/>
    <mergeCell ref="D34:E34"/>
    <mergeCell ref="B6:E6"/>
    <mergeCell ref="B30:E30"/>
    <mergeCell ref="B24:E24"/>
  </mergeCells>
  <dataValidations count="1">
    <dataValidation type="list" allowBlank="1" showErrorMessage="1" errorTitle="Invalid Selection" error="Please choose: Daily, Weekly, Monthly, or Annually" sqref="C55" xr:uid="{00000000-0002-0000-0600-000000000000}">
      <formula1>"Daily,Weekly,Monthly,Annually"</formula1>
    </dataValidation>
  </dataValidations>
  <hyperlinks>
    <hyperlink ref="A2" r:id="rId1" xr:uid="{00000000-0004-0000-06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Portfolio Summary</vt:lpstr>
      <vt:lpstr>Holding 1</vt:lpstr>
      <vt:lpstr>Holding 2</vt:lpstr>
      <vt:lpstr>Holding 3</vt:lpstr>
      <vt:lpstr>Holding 4</vt:lpstr>
      <vt:lpstr>Holding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Seth Prescott</cp:lastModifiedBy>
  <dcterms:created xsi:type="dcterms:W3CDTF">2026-04-19T21:42:50Z</dcterms:created>
  <dcterms:modified xsi:type="dcterms:W3CDTF">2026-04-20T05:49:49Z</dcterms:modified>
</cp:coreProperties>
</file>