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ISHA\Downloads\"/>
    </mc:Choice>
  </mc:AlternateContent>
  <xr:revisionPtr revIDLastSave="0" documentId="13_ncr:1_{D8F9D11D-2A18-4C9F-908E-93AD22BDCE68}" xr6:coauthVersionLast="47" xr6:coauthVersionMax="47" xr10:uidLastSave="{00000000-0000-0000-0000-000000000000}"/>
  <bookViews>
    <workbookView xWindow="38303" yWindow="-98" windowWidth="28995" windowHeight="15675" tabRatio="500" xr2:uid="{00000000-000D-0000-FFFF-FFFF00000000}"/>
  </bookViews>
  <sheets>
    <sheet name="📊 Dashboard" sheetId="1" r:id="rId1"/>
    <sheet name="💸 Expenses" sheetId="2" r:id="rId2"/>
    <sheet name="🛡 Emergency Fund" sheetId="3" r:id="rId3"/>
    <sheet name="🔒 Insurance" sheetId="4" r:id="rId4"/>
    <sheet name="📈 Investments" sheetId="5" r:id="rId5"/>
    <sheet name="🏦 FD Calculator" sheetId="6" r:id="rId6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7" i="1" l="1"/>
  <c r="D18" i="1"/>
  <c r="C17" i="1"/>
  <c r="D50" i="6"/>
  <c r="D57" i="6" s="1"/>
  <c r="D32" i="6"/>
  <c r="D33" i="6" s="1"/>
  <c r="D14" i="6"/>
  <c r="D21" i="6" s="1"/>
  <c r="D29" i="5"/>
  <c r="D19" i="1" s="1"/>
  <c r="H28" i="5"/>
  <c r="E28" i="5"/>
  <c r="H27" i="5"/>
  <c r="E27" i="5"/>
  <c r="H26" i="5"/>
  <c r="E26" i="5"/>
  <c r="H25" i="5"/>
  <c r="E25" i="5"/>
  <c r="H24" i="5"/>
  <c r="E24" i="5"/>
  <c r="H23" i="5"/>
  <c r="E23" i="5"/>
  <c r="H22" i="5"/>
  <c r="E22" i="5"/>
  <c r="H20" i="5"/>
  <c r="E20" i="5"/>
  <c r="H19" i="5"/>
  <c r="E19" i="5"/>
  <c r="H18" i="5"/>
  <c r="E18" i="5"/>
  <c r="H17" i="5"/>
  <c r="E17" i="5"/>
  <c r="H16" i="5"/>
  <c r="E16" i="5"/>
  <c r="H14" i="5"/>
  <c r="E14" i="5"/>
  <c r="H13" i="5"/>
  <c r="E13" i="5"/>
  <c r="H12" i="5"/>
  <c r="E12" i="5"/>
  <c r="H11" i="5"/>
  <c r="E11" i="5"/>
  <c r="H10" i="5"/>
  <c r="E10" i="5"/>
  <c r="D35" i="4"/>
  <c r="D33" i="4"/>
  <c r="D26" i="4"/>
  <c r="D24" i="4"/>
  <c r="D17" i="4"/>
  <c r="D10" i="4"/>
  <c r="D11" i="4" s="1"/>
  <c r="D7" i="4"/>
  <c r="F6" i="4"/>
  <c r="E18" i="1" s="1"/>
  <c r="D30" i="3"/>
  <c r="D16" i="3"/>
  <c r="D22" i="3" s="1"/>
  <c r="E15" i="3"/>
  <c r="E14" i="3"/>
  <c r="E13" i="3"/>
  <c r="E12" i="3"/>
  <c r="E11" i="3"/>
  <c r="E10" i="3"/>
  <c r="E9" i="3"/>
  <c r="E8" i="3"/>
  <c r="D83" i="2"/>
  <c r="D82" i="2"/>
  <c r="D81" i="2"/>
  <c r="F75" i="2"/>
  <c r="D75" i="2"/>
  <c r="E75" i="2" s="1"/>
  <c r="F74" i="2"/>
  <c r="E74" i="2"/>
  <c r="F73" i="2"/>
  <c r="E73" i="2"/>
  <c r="F72" i="2"/>
  <c r="E72" i="2"/>
  <c r="F71" i="2"/>
  <c r="E71" i="2"/>
  <c r="D68" i="2"/>
  <c r="F68" i="2" s="1"/>
  <c r="F67" i="2"/>
  <c r="E67" i="2"/>
  <c r="F66" i="2"/>
  <c r="E66" i="2"/>
  <c r="F65" i="2"/>
  <c r="E65" i="2"/>
  <c r="F64" i="2"/>
  <c r="E64" i="2"/>
  <c r="F63" i="2"/>
  <c r="E63" i="2"/>
  <c r="F62" i="2"/>
  <c r="E62" i="2"/>
  <c r="D59" i="2"/>
  <c r="E59" i="2" s="1"/>
  <c r="F58" i="2"/>
  <c r="E58" i="2"/>
  <c r="F57" i="2"/>
  <c r="E57" i="2"/>
  <c r="F56" i="2"/>
  <c r="E56" i="2"/>
  <c r="F55" i="2"/>
  <c r="E55" i="2"/>
  <c r="D52" i="2"/>
  <c r="E52" i="2" s="1"/>
  <c r="F51" i="2"/>
  <c r="E51" i="2"/>
  <c r="F50" i="2"/>
  <c r="E50" i="2"/>
  <c r="F49" i="2"/>
  <c r="E49" i="2"/>
  <c r="F48" i="2"/>
  <c r="E48" i="2"/>
  <c r="D45" i="2"/>
  <c r="E45" i="2" s="1"/>
  <c r="F44" i="2"/>
  <c r="E44" i="2"/>
  <c r="F43" i="2"/>
  <c r="E43" i="2"/>
  <c r="F42" i="2"/>
  <c r="E42" i="2"/>
  <c r="D39" i="2"/>
  <c r="E39" i="2" s="1"/>
  <c r="F38" i="2"/>
  <c r="E38" i="2"/>
  <c r="F37" i="2"/>
  <c r="E37" i="2"/>
  <c r="F36" i="2"/>
  <c r="E36" i="2"/>
  <c r="F35" i="2"/>
  <c r="E35" i="2"/>
  <c r="F32" i="2"/>
  <c r="D32" i="2"/>
  <c r="E32" i="2" s="1"/>
  <c r="F31" i="2"/>
  <c r="E31" i="2"/>
  <c r="F30" i="2"/>
  <c r="E30" i="2"/>
  <c r="F29" i="2"/>
  <c r="E29" i="2"/>
  <c r="F28" i="2"/>
  <c r="E28" i="2"/>
  <c r="F27" i="2"/>
  <c r="E27" i="2"/>
  <c r="F26" i="2"/>
  <c r="E26" i="2"/>
  <c r="D23" i="2"/>
  <c r="F23" i="2" s="1"/>
  <c r="F22" i="2"/>
  <c r="E22" i="2"/>
  <c r="F21" i="2"/>
  <c r="E21" i="2"/>
  <c r="F20" i="2"/>
  <c r="E20" i="2"/>
  <c r="F19" i="2"/>
  <c r="E19" i="2"/>
  <c r="D16" i="2"/>
  <c r="F16" i="2" s="1"/>
  <c r="F15" i="2"/>
  <c r="E15" i="2"/>
  <c r="F14" i="2"/>
  <c r="E14" i="2"/>
  <c r="F13" i="2"/>
  <c r="E13" i="2"/>
  <c r="F12" i="2"/>
  <c r="E12" i="2"/>
  <c r="F11" i="2"/>
  <c r="E11" i="2"/>
  <c r="F10" i="2"/>
  <c r="E10" i="2"/>
  <c r="C24" i="1"/>
  <c r="C18" i="1"/>
  <c r="D14" i="1"/>
  <c r="C14" i="1"/>
  <c r="C19" i="1" l="1"/>
  <c r="D39" i="6"/>
  <c r="D15" i="6"/>
  <c r="D17" i="6" s="1"/>
  <c r="D20" i="3"/>
  <c r="F19" i="3" s="1"/>
  <c r="E17" i="1" s="1"/>
  <c r="D21" i="3"/>
  <c r="D26" i="3"/>
  <c r="C32" i="3" s="1"/>
  <c r="E68" i="2"/>
  <c r="F59" i="2"/>
  <c r="F52" i="2"/>
  <c r="F45" i="2"/>
  <c r="F39" i="2"/>
  <c r="E23" i="2"/>
  <c r="E16" i="2"/>
  <c r="D12" i="4"/>
  <c r="D36" i="6"/>
  <c r="D35" i="6"/>
  <c r="D38" i="6" s="1"/>
  <c r="D40" i="6" s="1"/>
  <c r="D41" i="6" s="1"/>
  <c r="D34" i="6"/>
  <c r="D18" i="6"/>
  <c r="D19" i="6" s="1"/>
  <c r="D13" i="4"/>
  <c r="D15" i="4" s="1"/>
  <c r="F15" i="4" s="1"/>
  <c r="D51" i="6"/>
  <c r="D20" i="6"/>
  <c r="D22" i="6" s="1"/>
  <c r="D23" i="6" s="1"/>
  <c r="D19" i="3"/>
  <c r="D16" i="6"/>
  <c r="D77" i="2"/>
  <c r="C23" i="1" s="1"/>
  <c r="D28" i="3" l="1"/>
  <c r="E15" i="1"/>
  <c r="D15" i="1"/>
  <c r="C15" i="1"/>
  <c r="D78" i="2"/>
  <c r="C22" i="1" s="1"/>
  <c r="D37" i="6"/>
  <c r="D54" i="6"/>
  <c r="D53" i="6"/>
  <c r="D55" i="6" s="1"/>
  <c r="D52" i="6"/>
  <c r="E16" i="1" l="1"/>
  <c r="D16" i="1"/>
  <c r="C16" i="1"/>
  <c r="D56" i="6"/>
  <c r="D58" i="6" s="1"/>
  <c r="D59" i="6" s="1"/>
</calcChain>
</file>

<file path=xl/sharedStrings.xml><?xml version="1.0" encoding="utf-8"?>
<sst xmlns="http://schemas.openxmlformats.org/spreadsheetml/2006/main" count="369" uniqueCount="292">
  <si>
    <t>© Rational Rahul | Personal Finance Coach | rationalrahul.com</t>
  </si>
  <si>
    <t>MY PERSONAL FINANCE DASHBOARD</t>
  </si>
  <si>
    <t>All-in-One Money Command Centre</t>
  </si>
  <si>
    <t>👤  PERSONAL INFORMATION</t>
  </si>
  <si>
    <t>Your Name</t>
  </si>
  <si>
    <t>💡 HOW TO USE THIS WORKBOOK
1️⃣  Fill BLUE cells — those are YOUR inputs
2️⃣  BLACK cells are auto-calculated formulas
3️⃣  Work through each tab in order:
     📊 Dashboard → 💸 Expenses → 🛡 Emergency Fund
     → 🔒 Insurance → 📈 Investments → 🏦 FD Calculator
All amounts in your chosen currency. Indians abroad:
enter amounts in local currency consistently.</t>
  </si>
  <si>
    <t>Age</t>
  </si>
  <si>
    <t>Country of Residence</t>
  </si>
  <si>
    <t>India / Abroad</t>
  </si>
  <si>
    <t>Currency</t>
  </si>
  <si>
    <t>₹ or $</t>
  </si>
  <si>
    <t>Monthly Income (After Tax)</t>
  </si>
  <si>
    <t>📋  FINANCIAL SNAPSHOT (Auto-Pulls from All Sheets)</t>
  </si>
  <si>
    <t>Category</t>
  </si>
  <si>
    <t>Monthly Amount</t>
  </si>
  <si>
    <t>Annual Amount</t>
  </si>
  <si>
    <t>Status</t>
  </si>
  <si>
    <t>Total Monthly Income</t>
  </si>
  <si>
    <t>✅ Reference Set</t>
  </si>
  <si>
    <t>Total Monthly Expenses</t>
  </si>
  <si>
    <t>Monthly Savings</t>
  </si>
  <si>
    <t>Emergency Fund Target</t>
  </si>
  <si>
    <t>Insurance Covered</t>
  </si>
  <si>
    <t>Total Investment/Month</t>
  </si>
  <si>
    <t>✅ Diversified</t>
  </si>
  <si>
    <t>📊  SAVINGS RATE &amp; FINANCIAL RATIOS</t>
  </si>
  <si>
    <t>Savings Rate (%)</t>
  </si>
  <si>
    <t>💡 Aim for 20%+ savings rate (50/30/20 Rule)</t>
  </si>
  <si>
    <t>Expense Ratio (%)</t>
  </si>
  <si>
    <t>💡 Keep expenses below 80% of income</t>
  </si>
  <si>
    <t>Investment Ratio (%)</t>
  </si>
  <si>
    <t>💡 Invest at least 15-20% of income</t>
  </si>
  <si>
    <t>© Copyright Rational Rahul | Personal Finance Coach | www.rationalrahul.com | All Rights Reserved</t>
  </si>
  <si>
    <t>MONTHLY EXPENSE TRACKER</t>
  </si>
  <si>
    <t>Track every rupee / dollar — awareness is the first step to wealth</t>
  </si>
  <si>
    <t>💡 Enter your MONTHLY figures. Blue cells = YOUR inputs. Black = Auto-calculated.</t>
  </si>
  <si>
    <t>Expense Category</t>
  </si>
  <si>
    <t>Sub-Category</t>
  </si>
  <si>
    <t>% of Income</t>
  </si>
  <si>
    <t>Notes</t>
  </si>
  <si>
    <t>🔹 HOUSING &amp; UTILITIES</t>
  </si>
  <si>
    <t>Rent / Home Loan EMI</t>
  </si>
  <si>
    <t>Electricity Bill</t>
  </si>
  <si>
    <t>Water/Gas Bill</t>
  </si>
  <si>
    <t>Internet &amp; Cable</t>
  </si>
  <si>
    <t>Society Maintenance</t>
  </si>
  <si>
    <t>Other Housing</t>
  </si>
  <si>
    <t xml:space="preserve">  Subtotal – HOUSING &amp; UTILITIES</t>
  </si>
  <si>
    <t>🔹 FOOD &amp; GROCERIES</t>
  </si>
  <si>
    <t>Groceries / Kirana</t>
  </si>
  <si>
    <t>Dining Out / Swiggy / Zomato</t>
  </si>
  <si>
    <t>Tea/Coffee/Snacks</t>
  </si>
  <si>
    <t>Tiffin / Mess</t>
  </si>
  <si>
    <t xml:space="preserve">  Subtotal – FOOD &amp; GROCERIES</t>
  </si>
  <si>
    <t>🔹 TRANSPORT</t>
  </si>
  <si>
    <t>Fuel / Petrol</t>
  </si>
  <si>
    <t>Public Transport / Metro</t>
  </si>
  <si>
    <t>Cab / Auto (Ola/Uber)</t>
  </si>
  <si>
    <t>Vehicle EMI / Lease</t>
  </si>
  <si>
    <t>Vehicle Insurance</t>
  </si>
  <si>
    <t>Parking</t>
  </si>
  <si>
    <t xml:space="preserve">  Subtotal – TRANSPORT</t>
  </si>
  <si>
    <t>🔹 HEALTH</t>
  </si>
  <si>
    <t>Medical / Pharmacy</t>
  </si>
  <si>
    <t>Doctor Consultations</t>
  </si>
  <si>
    <t>Gym / Yoga / Fitness</t>
  </si>
  <si>
    <t>Mental Health / Therapy</t>
  </si>
  <si>
    <t xml:space="preserve">  Subtotal – HEALTH</t>
  </si>
  <si>
    <t>🔹 PERSONAL CARE</t>
  </si>
  <si>
    <t>Clothing &amp; Fashion</t>
  </si>
  <si>
    <t>Salon / Grooming</t>
  </si>
  <si>
    <t>Cosmetics</t>
  </si>
  <si>
    <t xml:space="preserve">  Subtotal – PERSONAL CARE</t>
  </si>
  <si>
    <t>🔹 ENTERTAINMENT</t>
  </si>
  <si>
    <t>OTT (Netflix/Prime/Hotstar)</t>
  </si>
  <si>
    <t>Outings / Events</t>
  </si>
  <si>
    <t>Books / Courses / Education</t>
  </si>
  <si>
    <t>Hobbies</t>
  </si>
  <si>
    <t xml:space="preserve">  Subtotal – ENTERTAINMENT</t>
  </si>
  <si>
    <t>🔹 FAMILY &amp; SOCIAL</t>
  </si>
  <si>
    <t>Parents / Family Support</t>
  </si>
  <si>
    <t>Gifts &amp; Celebrations</t>
  </si>
  <si>
    <t>Religious / Pooja expenses</t>
  </si>
  <si>
    <t>Charity / Donation</t>
  </si>
  <si>
    <t xml:space="preserve">  Subtotal – FAMILY &amp; SOCIAL</t>
  </si>
  <si>
    <t>🔹 FINANCIAL OBLIGATIONS</t>
  </si>
  <si>
    <t>Personal Loan EMI</t>
  </si>
  <si>
    <t>Credit Card Bill</t>
  </si>
  <si>
    <t>Other EMIs</t>
  </si>
  <si>
    <t>SIP / Investments (to be detailed in Investments sheet)</t>
  </si>
  <si>
    <t>Life Insurance Premium</t>
  </si>
  <si>
    <t>Health Insurance Premium</t>
  </si>
  <si>
    <t xml:space="preserve">  Subtotal – FINANCIAL OBLIGATIONS</t>
  </si>
  <si>
    <t>🔹 MISCELLANEOUS</t>
  </si>
  <si>
    <t>Subscriptions (Other)</t>
  </si>
  <si>
    <t>Stationery / Office</t>
  </si>
  <si>
    <t>Pet Care</t>
  </si>
  <si>
    <t>Any Other Expense</t>
  </si>
  <si>
    <t xml:space="preserve">  Subtotal – MISCELLANEOUS</t>
  </si>
  <si>
    <t>🔴  TOTAL MONTHLY EXPENSES</t>
  </si>
  <si>
    <t>🟢  MONTHLY SAVINGS</t>
  </si>
  <si>
    <t>📌  50 / 30 / 20 RULE GUIDE  (Based on your income)</t>
  </si>
  <si>
    <t>50% – Needs (Rent, Food, Utilities)</t>
  </si>
  <si>
    <t>30% – Wants (Entertainment, Shopping)</t>
  </si>
  <si>
    <t>20% – Savings &amp; Investments</t>
  </si>
  <si>
    <t>EMERGENCY FUND PLANNER</t>
  </si>
  <si>
    <t>Build your financial safety net — 6 to 12 months of expenses</t>
  </si>
  <si>
    <t>🛡️ Your Emergency Fund is your FINANCIAL SHIELD. Without it, any job loss, medical emergency, or car breakdown will destroy your investment journey. Build this FIRST before investing.</t>
  </si>
  <si>
    <t>STEP 1 — Calculate Your Monthly Essential Expenses</t>
  </si>
  <si>
    <t>Monthly Rent / EMI</t>
  </si>
  <si>
    <t>Annual</t>
  </si>
  <si>
    <t>Monthly Groceries &amp; Food</t>
  </si>
  <si>
    <t>Utilities (Electricity, Water, Gas, Internet)</t>
  </si>
  <si>
    <t>Transport (Fuel, Metro, Cab)</t>
  </si>
  <si>
    <t>Insurance Premiums (Monthly equivalent)</t>
  </si>
  <si>
    <t>Loan EMIs (Monthly)</t>
  </si>
  <si>
    <t>Family / Dependant Support</t>
  </si>
  <si>
    <t>Other Essentials</t>
  </si>
  <si>
    <t>TOTAL MONTHLY ESSENTIAL EXPENSES</t>
  </si>
  <si>
    <t>STEP 2 — Emergency Fund Target Calculator</t>
  </si>
  <si>
    <t>3-Month Emergency Fund (Minimum)</t>
  </si>
  <si>
    <t>6-Month Emergency Fund (Recommended)</t>
  </si>
  <si>
    <t>For freelancers, self-employed, or dual income</t>
  </si>
  <si>
    <t>9-Month Emergency Fund (Cautious)</t>
  </si>
  <si>
    <t>For single income households with dependants</t>
  </si>
  <si>
    <t>12-Month Emergency Fund (Maximum)</t>
  </si>
  <si>
    <t>For business owners or high-risk professions</t>
  </si>
  <si>
    <t>STEP 3 — Track Your Progress</t>
  </si>
  <si>
    <t>Your Emergency Fund Goal (choose 3/6/9/12 months)</t>
  </si>
  <si>
    <t>Emergency Fund TARGET Amount</t>
  </si>
  <si>
    <t>Current Emergency Fund Saved (Today)</t>
  </si>
  <si>
    <t>Remaining Amount to Save</t>
  </si>
  <si>
    <t>Monthly Savings Available for Emergency Fund</t>
  </si>
  <si>
    <t>Months to Complete Emergency Fund</t>
  </si>
  <si>
    <t>📊 PROGRESS</t>
  </si>
  <si>
    <t>🏦  WHERE TO PARK YOUR EMERGENCY FUND?</t>
  </si>
  <si>
    <t>Option</t>
  </si>
  <si>
    <t>Liquidity</t>
  </si>
  <si>
    <t>Returns</t>
  </si>
  <si>
    <t>Recommendation</t>
  </si>
  <si>
    <t>Savings Account (Liquid)</t>
  </si>
  <si>
    <t>Instant access</t>
  </si>
  <si>
    <t>Low – 3-4% p.a.</t>
  </si>
  <si>
    <t>✅ For 1-2 months</t>
  </si>
  <si>
    <t>Liquid Mutual Fund</t>
  </si>
  <si>
    <t>1 business day</t>
  </si>
  <si>
    <t>Moderate – 6-7% p.a.</t>
  </si>
  <si>
    <t>✅ For 3-6 months</t>
  </si>
  <si>
    <t>Sweep-in FD</t>
  </si>
  <si>
    <t>24-48 hours</t>
  </si>
  <si>
    <t>Better – 6-7.5% p.a.</t>
  </si>
  <si>
    <t>✅ Good hybrid</t>
  </si>
  <si>
    <t>Short Duration Debt Fund</t>
  </si>
  <si>
    <t>2-3 days</t>
  </si>
  <si>
    <t>Moderate – 7%+ p.a.</t>
  </si>
  <si>
    <t>✅ For 6-12 months</t>
  </si>
  <si>
    <t>INSURANCE ALLOCATION PLANNER</t>
  </si>
  <si>
    <t>Protection first — Insurance is not an expense, it's FINANCIAL ARMOUR</t>
  </si>
  <si>
    <t>⚠️ RULE: Never invest before insuring. Term Life = 10-15x Annual Income. Health Cover = Min ₹10L / family. For NRIs — ensure international coverage &amp; repatriation rider.</t>
  </si>
  <si>
    <t>Annual Income (from Expense sheet)</t>
  </si>
  <si>
    <t>🏛️  TERM LIFE INSURANCE</t>
  </si>
  <si>
    <t>Annual Income</t>
  </si>
  <si>
    <t>Recommended Coverage (10x Annual Income)</t>
  </si>
  <si>
    <t>Recommended Coverage (15x Annual Income)</t>
  </si>
  <si>
    <t>YOUR Target Coverage (Enter multiplier, e.g. 12)</t>
  </si>
  <si>
    <t>Current Life Insurance Coverage</t>
  </si>
  <si>
    <t>Coverage Gap (If negative, you are under-insured)</t>
  </si>
  <si>
    <t>Monthly Premium You Pay</t>
  </si>
  <si>
    <t>Annual Premium</t>
  </si>
  <si>
    <t>🏥  HEALTH INSURANCE</t>
  </si>
  <si>
    <t>Individual Health Cover (Min ₹10L recommended)</t>
  </si>
  <si>
    <t>Family Floater Cover (If applicable)</t>
  </si>
  <si>
    <t>Critical Illness Rider Cover</t>
  </si>
  <si>
    <t>Top-Up / Super Top-Up Plan Cover</t>
  </si>
  <si>
    <t>TOTAL Health Insurance Coverage</t>
  </si>
  <si>
    <t>Monthly Health Premium</t>
  </si>
  <si>
    <t>Annual Health Premium</t>
  </si>
  <si>
    <t>🛡️  OTHER INSURANCE (Vehicle, Travel, Home, etc.)</t>
  </si>
  <si>
    <t>Vehicle Insurance (Monthly Equivalent)</t>
  </si>
  <si>
    <t>Travel Insurance (Avg monthly equivalent)</t>
  </si>
  <si>
    <t>Home / Renter's Insurance</t>
  </si>
  <si>
    <t>Disability / Income Replacement Insurance</t>
  </si>
  <si>
    <t>TOTAL Other Insurance Monthly</t>
  </si>
  <si>
    <t>💰 TOTAL MONTHLY INSURANCE SPEND</t>
  </si>
  <si>
    <t>🌏 NRI NOTE: If you are in Canada/US — ensure your Indian Term plan has an NRI rider or buy local coverage. OHIP/provincial health covers medical in Canada; Top-up plans for India visits are recommended.</t>
  </si>
  <si>
    <t>INVESTMENT PLANNER</t>
  </si>
  <si>
    <t>Short Term • Mid Term • Long Term — With Interest &amp; Tax Calculations</t>
  </si>
  <si>
    <t>📌 Enter monthly SIP amount. The sheet calculates projected corpus using compound interest. Tax rates shown are as per Indian IT Act. NRIs: TDS applies differently — consult CA.</t>
  </si>
  <si>
    <t>📊  INVESTMENT ALLOCATION TABLE</t>
  </si>
  <si>
    <t>Investment Type</t>
  </si>
  <si>
    <t>Monthly SIP/Amount</t>
  </si>
  <si>
    <t>Expected Rate (%)</t>
  </si>
  <si>
    <t>Horizon (Years)</t>
  </si>
  <si>
    <t>Projected Corpus</t>
  </si>
  <si>
    <t>Tax Treatment</t>
  </si>
  <si>
    <t>──── SHORT TERM (1–3 Years) ────</t>
  </si>
  <si>
    <t>Liquid / Money Market Fund</t>
  </si>
  <si>
    <t>Short Term</t>
  </si>
  <si>
    <t>Slab rate (STCG/LTCG, debt-like fund)</t>
  </si>
  <si>
    <t>Ultra Short Duration Fund</t>
  </si>
  <si>
    <t>Slab rate if bought after Apr 2023 (no LTCG)</t>
  </si>
  <si>
    <t>Recurring Deposit (RD)</t>
  </si>
  <si>
    <t>Interest taxed at slab rate; TDS 10% above ₹50K/yr</t>
  </si>
  <si>
    <t>Fixed Deposit (Covered in FD sheet)</t>
  </si>
  <si>
    <t>──── MID TERM (3–7 Years) ────</t>
  </si>
  <si>
    <t>Balanced Advantage Fund</t>
  </si>
  <si>
    <t>Mid Term</t>
  </si>
  <si>
    <t>LTCG 12.5% above ₹1.25L (&gt;12M); STCG 20% (≤12M)</t>
  </si>
  <si>
    <t>Index Fund (Nifty 50)</t>
  </si>
  <si>
    <t>ELSS (Tax Saving, 3yr lock)</t>
  </si>
  <si>
    <t>LTCG 12.5% above ₹1.25L + Sec 80C ₹1.5L deduction</t>
  </si>
  <si>
    <t>Corporate Bond Fund</t>
  </si>
  <si>
    <t>Slab rate regardless of holding (post Apr 2023)</t>
  </si>
  <si>
    <t>Gold ETF / Sovereign Gold Bond</t>
  </si>
  <si>
    <t>LTCG 12.5% without indexation (&gt;24M); STCG at slab</t>
  </si>
  <si>
    <t>──── LONG TERM (7+ Years) ────</t>
  </si>
  <si>
    <t>Large Cap Equity Fund</t>
  </si>
  <si>
    <t>Long Term</t>
  </si>
  <si>
    <t>LTCG 12.5% above ₹1.25L/yr (&gt;12M); STCG 20% (≤12M)</t>
  </si>
  <si>
    <t>Mid Cap Fund</t>
  </si>
  <si>
    <t>Small Cap Fund</t>
  </si>
  <si>
    <t>International / US Fund</t>
  </si>
  <si>
    <t>PPF (15yr lock-in)</t>
  </si>
  <si>
    <t>Fully Exempt (EEE) — Sec 80C ₹1.5L</t>
  </si>
  <si>
    <t>NPS (Tier 1)</t>
  </si>
  <si>
    <t>60% exempt at maturity; 40% into annuity (taxable)</t>
  </si>
  <si>
    <t>EPF / PF</t>
  </si>
  <si>
    <t>Fully Exempt up to ₹2.5L/yr contribution limit</t>
  </si>
  <si>
    <t>💰 TOTAL MONTHLY INVESTMENT</t>
  </si>
  <si>
    <t>📋  QUICK TAX GUIDE FOR INVESTMENTS (India + NRI)</t>
  </si>
  <si>
    <t>Holding Period</t>
  </si>
  <si>
    <t>Tax Rate</t>
  </si>
  <si>
    <t>Equity Funds / Stocks (LTCG)</t>
  </si>
  <si>
    <t>&gt;1 year</t>
  </si>
  <si>
    <t>12.5% on gains above ₹1.25 Lakh/yr</t>
  </si>
  <si>
    <t>No indexation; STT must be paid on transfer</t>
  </si>
  <si>
    <t>Equity Funds / Stocks (STCG)</t>
  </si>
  <si>
    <t>&lt;1 year</t>
  </si>
  <si>
    <t>20% flat</t>
  </si>
  <si>
    <t>Effective from 23 July 2024 (was 15%)</t>
  </si>
  <si>
    <t>Debt Funds (LTCG)</t>
  </si>
  <si>
    <t>&gt;3 years</t>
  </si>
  <si>
    <t>Slab rate (if bought after 1 Apr 2023)</t>
  </si>
  <si>
    <t>No LTCG benefit for debt funds post Apr 2023</t>
  </si>
  <si>
    <t>Fixed Deposit Interest</t>
  </si>
  <si>
    <t>Any</t>
  </si>
  <si>
    <t>Slab rate; TDS 10% above ₹50K/yr (non-senior)</t>
  </si>
  <si>
    <t>TDS limit hiked from ₹40K to ₹50K from Apr 2025; ₹1L for senior citizens</t>
  </si>
  <si>
    <t>PPF</t>
  </si>
  <si>
    <t>15 years</t>
  </si>
  <si>
    <t>Fully Exempt (EEE) — Sec 80C ₹1.5L limit</t>
  </si>
  <si>
    <t>Max ₹1.5L/yr; 15-yr lock-in; tax-free maturity</t>
  </si>
  <si>
    <t>ELSS</t>
  </si>
  <si>
    <t>LTCG 12.5% above ₹1.25L (&gt;12M)</t>
  </si>
  <si>
    <t>Sec 80C deduction ₹1.5L; 3-yr lock-in</t>
  </si>
  <si>
    <t>NPS</t>
  </si>
  <si>
    <t>Till 60</t>
  </si>
  <si>
    <t>60% exempt at maturity; 40% into taxable annuity</t>
  </si>
  <si>
    <t>Extra ₹50K deduction u/s 80CCD(1B) in old regime</t>
  </si>
  <si>
    <t>Gold ETF</t>
  </si>
  <si>
    <t>LTCG 12.5% without indexation (&gt;24M)</t>
  </si>
  <si>
    <t>SGB maturity redemption: capital gains exempt for original allottees only</t>
  </si>
  <si>
    <t>NRI – Equity (LTCG)</t>
  </si>
  <si>
    <t>12.5% LTCG + surcharge + 4% cess</t>
  </si>
  <si>
    <t>DTAA may reduce; TDS deducted at source for NRIs</t>
  </si>
  <si>
    <t>NRI – FD (Interest)</t>
  </si>
  <si>
    <t>TDS 30% on NRO FD; NRE/FCNR interest: Tax-free in India</t>
  </si>
  <si>
    <t>DTAA relief available; consult CA for treaty benefits</t>
  </si>
  <si>
    <t>FIXED DEPOSIT (FD) CALCULATOR</t>
  </si>
  <si>
    <t>With Interest Compounding, TDS, Effective Yield &amp; Post-Tax Returns</t>
  </si>
  <si>
    <t>📌 FD Note (FY 2025-26): Interest is taxable as "Income from Other Sources" — added to total income &amp; taxed at slab rate. TDS of 10% deducted if annual interest exceeds ₹50,000 for residents (up from ₹40,000) or ₹1,00,000 for senior citizens (up from ₹50,000) — effective April 2025. NRO FD: TDS = 30%. Submit Form 15G/15H if total income is below taxable limit to avoid TDS.</t>
  </si>
  <si>
    <t>FD #1 — FIXED DEPOSIT CALCULATOR</t>
  </si>
  <si>
    <t>Principal Amount (Lump Sum Deposit)</t>
  </si>
  <si>
    <t>Annual Interest Rate (%)</t>
  </si>
  <si>
    <t>Tenure (Years)</t>
  </si>
  <si>
    <t>Compounding Frequency (per year: 1=Annual, 2=Semi, 4=Quarterly, 12=Monthly)</t>
  </si>
  <si>
    <t>Your Income Tax Slab Rate (%)</t>
  </si>
  <si>
    <t>TDS Rate (10% for Resident, 30% for NRI on NRO)</t>
  </si>
  <si>
    <t>Maturity Amount (Compound Interest Formula)</t>
  </si>
  <si>
    <t>Total Interest Earned</t>
  </si>
  <si>
    <t>Annual Interest (for TDS calc)</t>
  </si>
  <si>
    <t>Total Tax Payable on Interest (at Slab Rate)</t>
  </si>
  <si>
    <t>TDS Already Deducted by Bank</t>
  </si>
  <si>
    <t>Additional Tax to Pay / (Refund)</t>
  </si>
  <si>
    <t>Post-Tax Maturity (Net Amount Received)</t>
  </si>
  <si>
    <t>Effective Pre-Tax Annual Yield (%)</t>
  </si>
  <si>
    <t>Effective Post-Tax Annual Yield (%)</t>
  </si>
  <si>
    <t>✅ VERDICT</t>
  </si>
  <si>
    <t>FD #2 — FIXED DEPOSIT CALCULATOR</t>
  </si>
  <si>
    <t>FD #3 — FIXED DEPOSIT CALCULATOR</t>
  </si>
  <si>
    <t>📊  FD vs INFLATION — THE REAL TRUTH</t>
  </si>
  <si>
    <t>⚠️  THE FD TRAP — FY 2025-26 Reality Check:
• India's average inflation: 5-6% per year
• FD rates in 2025-26: 6.5-8% (looks attractive)
• TDS threshold now ₹50,000/yr (residents) | ₹1,00,000 (senior citizens) — Budget 2025
• After 30% tax slab: Effective yield ≈ 5.2-5.6%
• Real return after inflation: Near zero or NEGATIVE!
✅ FD is PERFECT for: Emergency Fund (park 1-2M here), short-term goals (1-3 yrs), capital preservation
❌ FD is WRONG for: Wealth creation, retirement corpus, beating inflation long-term
💡 Better long-term alternatives: Index Funds (LTCG 12.5% above ₹1.25L), PPF (fully tax-free EEE), NPS (extra ₹50K deduction u/s 80CCD(1B))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</si>
</sst>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\%"/>
    <numFmt numFmtId="165" formatCode="0.0\%"/>
    <numFmt numFmtId="166" formatCode="0\%"/>
    <numFmt numFmtId="167" formatCode="0.000\%"/>
  </numFmts>
  <fonts count="23" x14ac:knownFonts="1">
    <font>
      <sz val="11"/>
      <color theme="1"/>
      <name val="Calibri"/>
      <family val="2"/>
      <charset val="1"/>
    </font>
    <font>
      <b/>
      <sz val="13"/>
      <color rgb="FFFFFFFF"/>
      <name val="Arial"/>
      <charset val="1"/>
    </font>
    <font>
      <b/>
      <sz val="16"/>
      <color rgb="FFD4AC0D"/>
      <name val="Arial"/>
      <charset val="1"/>
    </font>
    <font>
      <sz val="10"/>
      <color rgb="FFFFFFFF"/>
      <name val="Arial"/>
      <charset val="1"/>
    </font>
    <font>
      <b/>
      <sz val="12"/>
      <color rgb="FFFFFFFF"/>
      <name val="Arial"/>
      <charset val="1"/>
    </font>
    <font>
      <b/>
      <sz val="10"/>
      <color rgb="FF1C1C1C"/>
      <name val="Arial"/>
      <charset val="1"/>
    </font>
    <font>
      <sz val="10"/>
      <color rgb="FF0000FF"/>
      <name val="Arial"/>
      <charset val="1"/>
    </font>
    <font>
      <sz val="9"/>
      <color rgb="FF1C1C1C"/>
      <name val="Arial"/>
      <charset val="1"/>
    </font>
    <font>
      <sz val="10"/>
      <color rgb="FF000000"/>
      <name val="Arial"/>
      <charset val="1"/>
    </font>
    <font>
      <sz val="10"/>
      <color rgb="FF1C1C1C"/>
      <name val="Arial"/>
      <charset val="1"/>
    </font>
    <font>
      <sz val="9"/>
      <color rgb="FF148F77"/>
      <name val="Arial"/>
      <charset val="1"/>
    </font>
    <font>
      <b/>
      <sz val="9"/>
      <color rgb="FFFFFFFF"/>
      <name val="Arial"/>
      <charset val="1"/>
    </font>
    <font>
      <b/>
      <sz val="9"/>
      <color rgb="FF148F77"/>
      <name val="Arial"/>
      <charset val="1"/>
    </font>
    <font>
      <b/>
      <sz val="10"/>
      <color rgb="FFFFFFFF"/>
      <name val="Arial"/>
      <charset val="1"/>
    </font>
    <font>
      <b/>
      <sz val="11"/>
      <color rgb="FFFFFFFF"/>
      <name val="Arial"/>
      <charset val="1"/>
    </font>
    <font>
      <b/>
      <sz val="12"/>
      <color rgb="FFD4AC0D"/>
      <name val="Arial"/>
      <charset val="1"/>
    </font>
    <font>
      <b/>
      <sz val="10"/>
      <color rgb="FF7B241C"/>
      <name val="Arial"/>
      <charset val="1"/>
    </font>
    <font>
      <b/>
      <sz val="11"/>
      <color rgb="FFD4AC0D"/>
      <name val="Arial"/>
      <charset val="1"/>
    </font>
    <font>
      <b/>
      <sz val="11"/>
      <color rgb="FF148F77"/>
      <name val="Arial"/>
      <charset val="1"/>
    </font>
    <font>
      <b/>
      <sz val="11"/>
      <color rgb="FF008000"/>
      <name val="Arial"/>
      <charset val="1"/>
    </font>
    <font>
      <b/>
      <sz val="9"/>
      <color rgb="FF154360"/>
      <name val="Arial"/>
      <charset val="1"/>
    </font>
    <font>
      <sz val="9"/>
      <color rgb="FF7B241C"/>
      <name val="Arial"/>
      <charset val="1"/>
    </font>
    <font>
      <b/>
      <sz val="9"/>
      <color rgb="FF7B241C"/>
      <name val="Arial"/>
      <charset val="1"/>
    </font>
  </fonts>
  <fills count="14">
    <fill>
      <patternFill patternType="none"/>
    </fill>
    <fill>
      <patternFill patternType="gray125"/>
    </fill>
    <fill>
      <patternFill patternType="solid">
        <fgColor rgb="FF1A5276"/>
        <bgColor rgb="FF154360"/>
      </patternFill>
    </fill>
    <fill>
      <patternFill patternType="solid">
        <fgColor rgb="FF148F77"/>
        <bgColor rgb="FF008080"/>
      </patternFill>
    </fill>
    <fill>
      <patternFill patternType="solid">
        <fgColor rgb="FFD6EAF8"/>
        <bgColor rgb="FFD5F5E3"/>
      </patternFill>
    </fill>
    <fill>
      <patternFill patternType="solid">
        <fgColor rgb="FFFFFACD"/>
        <bgColor rgb="FFFDEBD0"/>
      </patternFill>
    </fill>
    <fill>
      <patternFill patternType="solid">
        <fgColor rgb="FFD5F5E3"/>
        <bgColor rgb="FFD6EAF8"/>
      </patternFill>
    </fill>
    <fill>
      <patternFill patternType="solid">
        <fgColor rgb="FFD4AC0D"/>
        <bgColor rgb="FFFFCC00"/>
      </patternFill>
    </fill>
    <fill>
      <patternFill patternType="solid">
        <fgColor rgb="FFFFFFFF"/>
        <bgColor rgb="FFFFFACD"/>
      </patternFill>
    </fill>
    <fill>
      <patternFill patternType="solid">
        <fgColor rgb="FFE67E22"/>
        <bgColor rgb="FFFF8080"/>
      </patternFill>
    </fill>
    <fill>
      <patternFill patternType="solid">
        <fgColor rgb="FFFDEBD0"/>
        <bgColor rgb="FFFFFACD"/>
      </patternFill>
    </fill>
    <fill>
      <patternFill patternType="solid">
        <fgColor rgb="FF7D3C98"/>
        <bgColor rgb="FF993366"/>
      </patternFill>
    </fill>
    <fill>
      <patternFill patternType="solid">
        <fgColor rgb="FFFADBD8"/>
        <bgColor rgb="FFFDEBD0"/>
      </patternFill>
    </fill>
    <fill>
      <patternFill patternType="solid">
        <fgColor rgb="FF7B241C"/>
        <bgColor rgb="FF800000"/>
      </patternFill>
    </fill>
  </fills>
  <borders count="6">
    <border>
      <left/>
      <right/>
      <top/>
      <bottom/>
      <diagonal/>
    </border>
    <border>
      <left style="medium">
        <color rgb="FF1A5276"/>
      </left>
      <right/>
      <top style="medium">
        <color rgb="FF1A5276"/>
      </top>
      <bottom style="medium">
        <color rgb="FF1A5276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medium">
        <color rgb="FF1A5276"/>
      </left>
      <right/>
      <top style="medium">
        <color rgb="FF1A5276"/>
      </top>
      <bottom/>
      <diagonal/>
    </border>
    <border>
      <left style="medium">
        <color rgb="FF1A5276"/>
      </left>
      <right style="medium">
        <color rgb="FF1A5276"/>
      </right>
      <top style="medium">
        <color rgb="FF1A5276"/>
      </top>
      <bottom style="medium">
        <color rgb="FF1A5276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4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3" fillId="9" borderId="2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>
      <alignment horizontal="left" vertical="center" wrapText="1"/>
    </xf>
    <xf numFmtId="0" fontId="12" fillId="6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5" fillId="4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center" vertical="center" wrapText="1"/>
    </xf>
    <xf numFmtId="4" fontId="8" fillId="4" borderId="2" xfId="0" applyNumberFormat="1" applyFont="1" applyFill="1" applyBorder="1" applyAlignment="1">
      <alignment horizontal="right" vertical="center"/>
    </xf>
    <xf numFmtId="0" fontId="9" fillId="6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left" vertical="center" wrapText="1"/>
    </xf>
    <xf numFmtId="4" fontId="8" fillId="8" borderId="2" xfId="0" applyNumberFormat="1" applyFont="1" applyFill="1" applyBorder="1" applyAlignment="1">
      <alignment horizontal="right" vertical="center"/>
    </xf>
    <xf numFmtId="0" fontId="5" fillId="10" borderId="2" xfId="0" applyFont="1" applyFill="1" applyBorder="1" applyAlignment="1"/>
    <xf numFmtId="164" fontId="8" fillId="10" borderId="2" xfId="0" applyNumberFormat="1" applyFont="1" applyFill="1" applyBorder="1" applyAlignment="1"/>
    <xf numFmtId="0" fontId="5" fillId="4" borderId="2" xfId="0" applyFont="1" applyFill="1" applyBorder="1" applyAlignment="1"/>
    <xf numFmtId="164" fontId="8" fillId="4" borderId="2" xfId="0" applyNumberFormat="1" applyFont="1" applyFill="1" applyBorder="1" applyAlignment="1"/>
    <xf numFmtId="0" fontId="5" fillId="6" borderId="2" xfId="0" applyFont="1" applyFill="1" applyBorder="1" applyAlignment="1"/>
    <xf numFmtId="164" fontId="8" fillId="6" borderId="2" xfId="0" applyNumberFormat="1" applyFont="1" applyFill="1" applyBorder="1" applyAlignment="1"/>
    <xf numFmtId="4" fontId="6" fillId="5" borderId="2" xfId="0" applyNumberFormat="1" applyFont="1" applyFill="1" applyBorder="1" applyAlignment="1"/>
    <xf numFmtId="0" fontId="13" fillId="2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left" vertical="center" wrapText="1"/>
    </xf>
    <xf numFmtId="4" fontId="6" fillId="5" borderId="2" xfId="0" applyNumberFormat="1" applyFont="1" applyFill="1" applyBorder="1" applyAlignment="1">
      <alignment horizontal="right" vertical="center"/>
    </xf>
    <xf numFmtId="165" fontId="8" fillId="4" borderId="2" xfId="0" applyNumberFormat="1" applyFont="1" applyFill="1" applyBorder="1" applyAlignment="1">
      <alignment horizontal="right" vertical="center"/>
    </xf>
    <xf numFmtId="0" fontId="6" fillId="5" borderId="2" xfId="0" applyFont="1" applyFill="1" applyBorder="1" applyAlignment="1"/>
    <xf numFmtId="0" fontId="9" fillId="8" borderId="2" xfId="0" applyFont="1" applyFill="1" applyBorder="1" applyAlignment="1">
      <alignment horizontal="left" vertical="center" wrapText="1"/>
    </xf>
    <xf numFmtId="165" fontId="8" fillId="8" borderId="2" xfId="0" applyNumberFormat="1" applyFont="1" applyFill="1" applyBorder="1" applyAlignment="1">
      <alignment horizontal="right" vertical="center"/>
    </xf>
    <xf numFmtId="4" fontId="13" fillId="9" borderId="2" xfId="0" applyNumberFormat="1" applyFont="1" applyFill="1" applyBorder="1" applyAlignment="1">
      <alignment horizontal="right" vertical="center"/>
    </xf>
    <xf numFmtId="4" fontId="13" fillId="9" borderId="2" xfId="0" applyNumberFormat="1" applyFont="1" applyFill="1" applyBorder="1" applyAlignment="1"/>
    <xf numFmtId="165" fontId="13" fillId="9" borderId="2" xfId="0" applyNumberFormat="1" applyFont="1" applyFill="1" applyBorder="1" applyAlignment="1"/>
    <xf numFmtId="0" fontId="8" fillId="0" borderId="0" xfId="0" applyFont="1" applyAlignment="1"/>
    <xf numFmtId="4" fontId="8" fillId="5" borderId="2" xfId="0" applyNumberFormat="1" applyFont="1" applyFill="1" applyBorder="1" applyAlignment="1">
      <alignment horizontal="right" vertical="center"/>
    </xf>
    <xf numFmtId="4" fontId="15" fillId="2" borderId="4" xfId="0" applyNumberFormat="1" applyFont="1" applyFill="1" applyBorder="1" applyAlignment="1">
      <alignment horizontal="right" vertical="center"/>
    </xf>
    <xf numFmtId="4" fontId="15" fillId="3" borderId="4" xfId="0" applyNumberFormat="1" applyFont="1" applyFill="1" applyBorder="1" applyAlignment="1">
      <alignment horizontal="right" vertical="center"/>
    </xf>
    <xf numFmtId="4" fontId="8" fillId="6" borderId="2" xfId="0" applyNumberFormat="1" applyFont="1" applyFill="1" applyBorder="1" applyAlignment="1"/>
    <xf numFmtId="0" fontId="10" fillId="0" borderId="2" xfId="0" applyFont="1" applyBorder="1" applyAlignment="1"/>
    <xf numFmtId="4" fontId="17" fillId="2" borderId="4" xfId="0" applyNumberFormat="1" applyFont="1" applyFill="1" applyBorder="1" applyAlignment="1"/>
    <xf numFmtId="0" fontId="5" fillId="10" borderId="2" xfId="0" applyFont="1" applyFill="1" applyBorder="1" applyAlignment="1">
      <alignment horizontal="left" vertical="center" wrapText="1"/>
    </xf>
    <xf numFmtId="4" fontId="8" fillId="10" borderId="2" xfId="0" applyNumberFormat="1" applyFont="1" applyFill="1" applyBorder="1" applyAlignment="1"/>
    <xf numFmtId="1" fontId="6" fillId="5" borderId="2" xfId="0" applyNumberFormat="1" applyFont="1" applyFill="1" applyBorder="1" applyAlignment="1"/>
    <xf numFmtId="0" fontId="8" fillId="6" borderId="2" xfId="0" applyFont="1" applyFill="1" applyBorder="1" applyAlignment="1"/>
    <xf numFmtId="0" fontId="5" fillId="0" borderId="0" xfId="0" applyFont="1" applyAlignment="1"/>
    <xf numFmtId="0" fontId="9" fillId="4" borderId="2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 wrapText="1"/>
    </xf>
    <xf numFmtId="4" fontId="19" fillId="0" borderId="2" xfId="0" applyNumberFormat="1" applyFont="1" applyBorder="1" applyAlignment="1"/>
    <xf numFmtId="4" fontId="15" fillId="2" borderId="4" xfId="0" applyNumberFormat="1" applyFont="1" applyFill="1" applyBorder="1" applyAlignment="1"/>
    <xf numFmtId="0" fontId="7" fillId="4" borderId="2" xfId="0" applyFont="1" applyFill="1" applyBorder="1" applyAlignment="1">
      <alignment horizontal="center" vertical="center" wrapText="1"/>
    </xf>
    <xf numFmtId="4" fontId="8" fillId="4" borderId="2" xfId="0" applyNumberFormat="1" applyFont="1" applyFill="1" applyBorder="1" applyAlignment="1"/>
    <xf numFmtId="164" fontId="6" fillId="5" borderId="2" xfId="0" applyNumberFormat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21" fillId="6" borderId="2" xfId="0" applyFont="1" applyFill="1" applyBorder="1" applyAlignment="1">
      <alignment horizontal="left" wrapText="1"/>
    </xf>
    <xf numFmtId="0" fontId="7" fillId="8" borderId="2" xfId="0" applyFont="1" applyFill="1" applyBorder="1" applyAlignment="1">
      <alignment horizontal="center" vertical="center" wrapText="1"/>
    </xf>
    <xf numFmtId="4" fontId="8" fillId="8" borderId="2" xfId="0" applyNumberFormat="1" applyFont="1" applyFill="1" applyBorder="1" applyAlignment="1"/>
    <xf numFmtId="0" fontId="21" fillId="12" borderId="2" xfId="0" applyFont="1" applyFill="1" applyBorder="1" applyAlignment="1">
      <alignment horizontal="left" wrapText="1"/>
    </xf>
    <xf numFmtId="164" fontId="6" fillId="5" borderId="2" xfId="0" applyNumberFormat="1" applyFont="1" applyFill="1" applyBorder="1" applyAlignment="1"/>
    <xf numFmtId="166" fontId="6" fillId="5" borderId="2" xfId="0" applyNumberFormat="1" applyFont="1" applyFill="1" applyBorder="1" applyAlignment="1"/>
    <xf numFmtId="167" fontId="8" fillId="10" borderId="2" xfId="0" applyNumberFormat="1" applyFont="1" applyFill="1" applyBorder="1" applyAlignment="1"/>
    <xf numFmtId="167" fontId="8" fillId="6" borderId="2" xfId="0" applyNumberFormat="1" applyFont="1" applyFill="1" applyBorder="1" applyAlignment="1"/>
    <xf numFmtId="0" fontId="14" fillId="11" borderId="0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/>
    <xf numFmtId="0" fontId="16" fillId="12" borderId="0" xfId="0" applyFont="1" applyFill="1" applyBorder="1" applyAlignment="1">
      <alignment horizontal="left" wrapText="1"/>
    </xf>
    <xf numFmtId="0" fontId="14" fillId="2" borderId="4" xfId="0" applyFont="1" applyFill="1" applyBorder="1" applyAlignment="1"/>
    <xf numFmtId="0" fontId="8" fillId="0" borderId="5" xfId="0" applyFont="1" applyBorder="1" applyAlignment="1"/>
    <xf numFmtId="0" fontId="10" fillId="0" borderId="5" xfId="0" applyFont="1" applyBorder="1" applyAlignment="1"/>
    <xf numFmtId="0" fontId="5" fillId="8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18" fillId="0" borderId="0" xfId="0" applyFont="1" applyBorder="1" applyAlignment="1"/>
    <xf numFmtId="0" fontId="0" fillId="0" borderId="0" xfId="0" applyFont="1" applyBorder="1" applyAlignment="1"/>
    <xf numFmtId="0" fontId="5" fillId="4" borderId="5" xfId="0" applyFont="1" applyFill="1" applyBorder="1" applyAlignment="1">
      <alignment horizontal="left" vertical="center" wrapText="1"/>
    </xf>
    <xf numFmtId="0" fontId="5" fillId="8" borderId="5" xfId="0" applyFont="1" applyFill="1" applyBorder="1" applyAlignment="1">
      <alignment horizontal="left" vertical="center" wrapText="1"/>
    </xf>
    <xf numFmtId="0" fontId="9" fillId="8" borderId="5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8" fillId="0" borderId="2" xfId="0" applyFont="1" applyBorder="1" applyAlignment="1"/>
    <xf numFmtId="0" fontId="9" fillId="6" borderId="5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9" fillId="8" borderId="5" xfId="0" applyFont="1" applyFill="1" applyBorder="1" applyAlignment="1"/>
    <xf numFmtId="0" fontId="9" fillId="10" borderId="5" xfId="0" applyFont="1" applyFill="1" applyBorder="1" applyAlignment="1"/>
    <xf numFmtId="0" fontId="4" fillId="2" borderId="1" xfId="0" applyFont="1" applyFill="1" applyBorder="1" applyAlignment="1"/>
    <xf numFmtId="0" fontId="20" fillId="4" borderId="0" xfId="0" applyFont="1" applyFill="1" applyBorder="1" applyAlignment="1">
      <alignment horizontal="left" wrapText="1"/>
    </xf>
    <xf numFmtId="0" fontId="12" fillId="4" borderId="0" xfId="0" applyFont="1" applyFill="1" applyBorder="1" applyAlignment="1">
      <alignment horizontal="left" wrapText="1"/>
    </xf>
    <xf numFmtId="0" fontId="14" fillId="3" borderId="0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left" vertical="center" wrapText="1"/>
    </xf>
    <xf numFmtId="0" fontId="7" fillId="8" borderId="5" xfId="0" applyFont="1" applyFill="1" applyBorder="1" applyAlignment="1">
      <alignment horizontal="left" vertical="center" wrapText="1"/>
    </xf>
    <xf numFmtId="0" fontId="22" fillId="12" borderId="0" xfId="0" applyFont="1" applyFill="1" applyBorder="1" applyAlignment="1">
      <alignment horizontal="left" wrapText="1"/>
    </xf>
    <xf numFmtId="0" fontId="9" fillId="10" borderId="5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/>
    <xf numFmtId="0" fontId="8" fillId="2" borderId="4" xfId="0" applyFont="1" applyFill="1" applyBorder="1" applyAlignment="1"/>
    <xf numFmtId="0" fontId="4" fillId="13" borderId="1" xfId="0" applyFont="1" applyFill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48F77"/>
      <rgbColor rgb="FFC0C0C0"/>
      <rgbColor rgb="FF808080"/>
      <rgbColor rgb="FF9999FF"/>
      <rgbColor rgb="FF7D3C98"/>
      <rgbColor rgb="FFFFFACD"/>
      <rgbColor rgb="FFD6EA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5F5E3"/>
      <rgbColor rgb="FFFDEBD0"/>
      <rgbColor rgb="FF99CCFF"/>
      <rgbColor rgb="FFFF99CC"/>
      <rgbColor rgb="FFCC99FF"/>
      <rgbColor rgb="FFFADBD8"/>
      <rgbColor rgb="FF3366FF"/>
      <rgbColor rgb="FF33CCCC"/>
      <rgbColor rgb="FF99CC00"/>
      <rgbColor rgb="FFFFCC00"/>
      <rgbColor rgb="FFD4AC0D"/>
      <rgbColor rgb="FFE67E22"/>
      <rgbColor rgb="FF666699"/>
      <rgbColor rgb="FFAAAAAA"/>
      <rgbColor rgb="FF154360"/>
      <rgbColor rgb="FF339966"/>
      <rgbColor rgb="FF003300"/>
      <rgbColor rgb="FF333300"/>
      <rgbColor rgb="FF7B241C"/>
      <rgbColor rgb="FF993366"/>
      <rgbColor rgb="FF1A5276"/>
      <rgbColor rgb="FF1C1C1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showGridLines="0" tabSelected="1" zoomScaleNormal="100" workbookViewId="0">
      <pane xSplit="1" ySplit="3" topLeftCell="B8" activePane="bottomRight" state="frozen"/>
      <selection pane="topRight" activeCell="B1" sqref="B1"/>
      <selection pane="bottomLeft" activeCell="A4" sqref="A4"/>
      <selection pane="bottomRight" activeCell="M21" sqref="M21"/>
    </sheetView>
  </sheetViews>
  <sheetFormatPr defaultColWidth="8.6640625" defaultRowHeight="14.25" x14ac:dyDescent="0.45"/>
  <cols>
    <col min="1" max="1" width="3" style="15" customWidth="1"/>
    <col min="2" max="2" width="28" style="15" customWidth="1"/>
    <col min="3" max="8" width="20" style="15" customWidth="1"/>
    <col min="9" max="9" width="5" style="15" customWidth="1"/>
  </cols>
  <sheetData>
    <row r="1" spans="1:8" ht="39.75" customHeight="1" x14ac:dyDescent="0.45">
      <c r="A1" s="14" t="s">
        <v>0</v>
      </c>
      <c r="B1" s="14"/>
      <c r="C1" s="14"/>
      <c r="D1" s="14"/>
      <c r="E1" s="14"/>
      <c r="F1" s="14"/>
      <c r="G1" s="14"/>
      <c r="H1" s="14"/>
    </row>
    <row r="2" spans="1:8" ht="21.75" customHeight="1" x14ac:dyDescent="0.45">
      <c r="A2" s="13" t="s">
        <v>1</v>
      </c>
      <c r="B2" s="13"/>
      <c r="C2" s="13"/>
      <c r="D2" s="13"/>
      <c r="E2" s="13"/>
      <c r="F2" s="13"/>
      <c r="G2" s="13"/>
      <c r="H2" s="13"/>
    </row>
    <row r="3" spans="1:8" ht="18" customHeight="1" x14ac:dyDescent="0.45">
      <c r="A3" s="12" t="s">
        <v>2</v>
      </c>
      <c r="B3" s="12"/>
      <c r="C3" s="12"/>
      <c r="D3" s="12"/>
      <c r="E3" s="12"/>
      <c r="F3" s="12"/>
      <c r="G3" s="12"/>
      <c r="H3" s="12"/>
    </row>
    <row r="5" spans="1:8" ht="21.75" customHeight="1" x14ac:dyDescent="0.45">
      <c r="B5" s="11" t="s">
        <v>3</v>
      </c>
      <c r="C5" s="11"/>
      <c r="D5" s="11"/>
      <c r="E5" s="11"/>
      <c r="F5" s="11"/>
      <c r="G5" s="11"/>
      <c r="H5" s="11"/>
    </row>
    <row r="6" spans="1:8" ht="21.75" customHeight="1" x14ac:dyDescent="0.45">
      <c r="B6" s="16" t="s">
        <v>4</v>
      </c>
      <c r="C6" s="17" t="s">
        <v>4</v>
      </c>
      <c r="D6" s="10" t="s">
        <v>5</v>
      </c>
      <c r="E6" s="10"/>
      <c r="F6" s="10"/>
      <c r="G6" s="10"/>
      <c r="H6" s="10"/>
    </row>
    <row r="7" spans="1:8" ht="21.75" customHeight="1" x14ac:dyDescent="0.45">
      <c r="B7" s="16" t="s">
        <v>6</v>
      </c>
      <c r="C7" s="17">
        <v>30</v>
      </c>
      <c r="D7" s="10"/>
      <c r="E7" s="10"/>
      <c r="F7" s="10"/>
      <c r="G7" s="10"/>
      <c r="H7" s="10"/>
    </row>
    <row r="8" spans="1:8" ht="21.75" customHeight="1" x14ac:dyDescent="0.45">
      <c r="B8" s="16" t="s">
        <v>7</v>
      </c>
      <c r="C8" s="17" t="s">
        <v>8</v>
      </c>
      <c r="D8" s="10"/>
      <c r="E8" s="10"/>
      <c r="F8" s="10"/>
      <c r="G8" s="10"/>
      <c r="H8" s="10"/>
    </row>
    <row r="9" spans="1:8" ht="21.75" customHeight="1" x14ac:dyDescent="0.45">
      <c r="B9" s="16" t="s">
        <v>9</v>
      </c>
      <c r="C9" s="17" t="s">
        <v>10</v>
      </c>
      <c r="D9" s="10"/>
      <c r="E9" s="10"/>
      <c r="F9" s="10"/>
      <c r="G9" s="10"/>
      <c r="H9" s="10"/>
    </row>
    <row r="10" spans="1:8" ht="21.75" customHeight="1" x14ac:dyDescent="0.45">
      <c r="B10" s="16" t="s">
        <v>11</v>
      </c>
      <c r="C10" s="17">
        <v>0</v>
      </c>
      <c r="D10" s="10"/>
      <c r="E10" s="10"/>
      <c r="F10" s="10"/>
      <c r="G10" s="10"/>
      <c r="H10" s="10"/>
    </row>
    <row r="12" spans="1:8" ht="21.75" customHeight="1" x14ac:dyDescent="0.45">
      <c r="B12" s="9" t="s">
        <v>12</v>
      </c>
      <c r="C12" s="9"/>
      <c r="D12" s="9"/>
      <c r="E12" s="9"/>
      <c r="F12" s="9"/>
      <c r="G12" s="9"/>
      <c r="H12" s="9"/>
    </row>
    <row r="13" spans="1:8" ht="21.75" customHeight="1" x14ac:dyDescent="0.45">
      <c r="B13" s="18" t="s">
        <v>13</v>
      </c>
      <c r="C13" s="18" t="s">
        <v>14</v>
      </c>
      <c r="D13" s="18" t="s">
        <v>15</v>
      </c>
      <c r="E13" s="18" t="s">
        <v>16</v>
      </c>
    </row>
    <row r="14" spans="1:8" ht="21.75" customHeight="1" x14ac:dyDescent="0.45">
      <c r="B14" s="16" t="s">
        <v>17</v>
      </c>
      <c r="C14" s="19">
        <f>'💸 Expenses'!D6</f>
        <v>100000</v>
      </c>
      <c r="D14" s="19">
        <f>'💸 Expenses'!D6*12</f>
        <v>1200000</v>
      </c>
      <c r="E14" s="20" t="s">
        <v>18</v>
      </c>
    </row>
    <row r="15" spans="1:8" ht="21.75" customHeight="1" x14ac:dyDescent="0.45">
      <c r="B15" s="21" t="s">
        <v>19</v>
      </c>
      <c r="C15" s="22">
        <f>'💸 Expenses'!D77</f>
        <v>44400</v>
      </c>
      <c r="D15" s="22">
        <f>'💸 Expenses'!D77*12</f>
        <v>532800</v>
      </c>
      <c r="E15" s="20" t="str">
        <f>IF('💸 Expenses'!D77&lt;'💸 Expenses'!D6,"✅ Within Budget","⚠️ Over Budget")</f>
        <v>✅ Within Budget</v>
      </c>
    </row>
    <row r="16" spans="1:8" ht="21.75" customHeight="1" x14ac:dyDescent="0.45">
      <c r="B16" s="16" t="s">
        <v>20</v>
      </c>
      <c r="C16" s="19">
        <f>'💸 Expenses'!D78</f>
        <v>55600</v>
      </c>
      <c r="D16" s="19">
        <f>'💸 Expenses'!D78*12</f>
        <v>667200</v>
      </c>
      <c r="E16" s="20" t="str">
        <f>IF('💸 Expenses'!D78&gt;0,"✅ Saving","❌ No Savings")</f>
        <v>✅ Saving</v>
      </c>
    </row>
    <row r="17" spans="2:8" ht="21.75" customHeight="1" x14ac:dyDescent="0.45">
      <c r="B17" s="21" t="s">
        <v>21</v>
      </c>
      <c r="C17" s="22">
        <f>'🛡 Emergency Fund'!D16</f>
        <v>37000</v>
      </c>
      <c r="D17" s="22">
        <f>'🛡 Emergency Fund'!D16*12</f>
        <v>444000</v>
      </c>
      <c r="E17" s="20" t="str">
        <f>'🛡 Emergency Fund'!F19</f>
        <v>⚠️ Building...</v>
      </c>
    </row>
    <row r="18" spans="2:8" ht="21.75" customHeight="1" x14ac:dyDescent="0.45">
      <c r="B18" s="16" t="s">
        <v>22</v>
      </c>
      <c r="C18" s="19">
        <f>'🔒 Insurance'!D35</f>
        <v>800</v>
      </c>
      <c r="D18" s="19">
        <f>'🔒 Insurance'!D35*12</f>
        <v>9600</v>
      </c>
      <c r="E18" s="20" t="str">
        <f>'🔒 Insurance'!F6</f>
        <v>❌ Get Term Plan</v>
      </c>
    </row>
    <row r="19" spans="2:8" ht="21.75" customHeight="1" x14ac:dyDescent="0.45">
      <c r="B19" s="21" t="s">
        <v>23</v>
      </c>
      <c r="C19" s="22">
        <f>'📈 Investments'!D29</f>
        <v>35000</v>
      </c>
      <c r="D19" s="22">
        <f>'📈 Investments'!D29*12</f>
        <v>420000</v>
      </c>
      <c r="E19" s="20" t="s">
        <v>24</v>
      </c>
    </row>
    <row r="20" spans="2:8" ht="21.75" customHeight="1" x14ac:dyDescent="0.45"/>
    <row r="21" spans="2:8" ht="21.75" customHeight="1" x14ac:dyDescent="0.45">
      <c r="B21" s="8" t="s">
        <v>25</v>
      </c>
      <c r="C21" s="8"/>
      <c r="D21" s="8"/>
      <c r="E21" s="8"/>
      <c r="F21" s="8"/>
      <c r="G21" s="8"/>
      <c r="H21" s="8"/>
    </row>
    <row r="22" spans="2:8" ht="21.75" customHeight="1" x14ac:dyDescent="0.45">
      <c r="B22" s="23" t="s">
        <v>26</v>
      </c>
      <c r="C22" s="24">
        <f>IF('💸 Expenses'!D6&gt;0,'💸 Expenses'!D78/'💸 Expenses'!D6*100,0)</f>
        <v>55.600000000000009</v>
      </c>
      <c r="D22" s="7" t="s">
        <v>27</v>
      </c>
      <c r="E22" s="7"/>
      <c r="F22" s="7"/>
      <c r="G22" s="7"/>
      <c r="H22" s="7"/>
    </row>
    <row r="23" spans="2:8" ht="21.75" customHeight="1" x14ac:dyDescent="0.45">
      <c r="B23" s="25" t="s">
        <v>28</v>
      </c>
      <c r="C23" s="26">
        <f>IF('💸 Expenses'!D6&gt;0,'💸 Expenses'!D77/'💸 Expenses'!D6*100,0)</f>
        <v>44.4</v>
      </c>
      <c r="D23" s="7" t="s">
        <v>29</v>
      </c>
      <c r="E23" s="7"/>
      <c r="F23" s="7"/>
      <c r="G23" s="7"/>
      <c r="H23" s="7"/>
    </row>
    <row r="24" spans="2:8" ht="21.75" customHeight="1" x14ac:dyDescent="0.45">
      <c r="B24" s="27" t="s">
        <v>30</v>
      </c>
      <c r="C24" s="28">
        <f>IF('💸 Expenses'!D6&gt;0,'📈 Investments'!D29/'💸 Expenses'!D6*100,0)</f>
        <v>35</v>
      </c>
      <c r="D24" s="7" t="s">
        <v>31</v>
      </c>
      <c r="E24" s="7"/>
      <c r="F24" s="7"/>
      <c r="G24" s="7"/>
      <c r="H24" s="7"/>
    </row>
    <row r="26" spans="2:8" ht="15" customHeight="1" x14ac:dyDescent="0.45">
      <c r="B26" s="6" t="s">
        <v>32</v>
      </c>
      <c r="C26" s="6"/>
      <c r="D26" s="6"/>
      <c r="E26" s="6"/>
      <c r="F26" s="6"/>
      <c r="G26" s="6"/>
      <c r="H26" s="6"/>
    </row>
  </sheetData>
  <mergeCells count="11">
    <mergeCell ref="B26:H26"/>
    <mergeCell ref="B12:H12"/>
    <mergeCell ref="B21:H21"/>
    <mergeCell ref="D22:H22"/>
    <mergeCell ref="D23:H23"/>
    <mergeCell ref="D24:H24"/>
    <mergeCell ref="A1:H1"/>
    <mergeCell ref="A2:H2"/>
    <mergeCell ref="A3:H3"/>
    <mergeCell ref="B5:H5"/>
    <mergeCell ref="D6:H10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3"/>
  <sheetViews>
    <sheetView showGridLines="0" zoomScaleNormal="100" workbookViewId="0">
      <pane xSplit="1" ySplit="3" topLeftCell="B63" activePane="bottomRight" state="frozen"/>
      <selection pane="topRight" activeCell="B1" sqref="B1"/>
      <selection pane="bottomLeft" activeCell="A74" sqref="A74"/>
      <selection pane="bottomRight" activeCell="D12" sqref="D12"/>
    </sheetView>
  </sheetViews>
  <sheetFormatPr defaultColWidth="8.6640625" defaultRowHeight="14.25" x14ac:dyDescent="0.45"/>
  <cols>
    <col min="1" max="1" width="3" style="15" customWidth="1"/>
    <col min="2" max="2" width="30" style="15" customWidth="1"/>
    <col min="3" max="6" width="22" style="15" customWidth="1"/>
    <col min="7" max="7" width="28" style="15" customWidth="1"/>
    <col min="8" max="8" width="5" style="15" customWidth="1"/>
  </cols>
  <sheetData>
    <row r="1" spans="1:8" ht="39.75" customHeight="1" x14ac:dyDescent="0.45">
      <c r="A1" s="14" t="s">
        <v>0</v>
      </c>
      <c r="B1" s="14"/>
      <c r="C1" s="14"/>
      <c r="D1" s="14"/>
      <c r="E1" s="14"/>
      <c r="F1" s="14"/>
      <c r="G1" s="14"/>
      <c r="H1" s="14"/>
    </row>
    <row r="2" spans="1:8" ht="21.75" customHeight="1" x14ac:dyDescent="0.45">
      <c r="A2" s="13" t="s">
        <v>33</v>
      </c>
      <c r="B2" s="13"/>
      <c r="C2" s="13"/>
      <c r="D2" s="13"/>
      <c r="E2" s="13"/>
      <c r="F2" s="13"/>
      <c r="G2" s="13"/>
      <c r="H2" s="13"/>
    </row>
    <row r="3" spans="1:8" ht="18" customHeight="1" x14ac:dyDescent="0.45">
      <c r="A3" s="12" t="s">
        <v>34</v>
      </c>
      <c r="B3" s="12"/>
      <c r="C3" s="12"/>
      <c r="D3" s="12"/>
      <c r="E3" s="12"/>
      <c r="F3" s="12"/>
      <c r="G3" s="12"/>
      <c r="H3" s="12"/>
    </row>
    <row r="5" spans="1:8" ht="15" customHeight="1" x14ac:dyDescent="0.45">
      <c r="B5" s="5" t="s">
        <v>35</v>
      </c>
      <c r="C5" s="5"/>
      <c r="D5" s="5"/>
      <c r="E5" s="5"/>
      <c r="F5" s="5"/>
      <c r="G5" s="5"/>
    </row>
    <row r="6" spans="1:8" ht="21.75" customHeight="1" x14ac:dyDescent="0.45">
      <c r="B6" s="16" t="s">
        <v>11</v>
      </c>
      <c r="D6" s="29">
        <v>100000</v>
      </c>
    </row>
    <row r="8" spans="1:8" ht="21.75" customHeight="1" x14ac:dyDescent="0.45">
      <c r="B8" s="30" t="s">
        <v>36</v>
      </c>
      <c r="C8" s="30" t="s">
        <v>37</v>
      </c>
      <c r="D8" s="30" t="s">
        <v>14</v>
      </c>
      <c r="E8" s="30" t="s">
        <v>15</v>
      </c>
      <c r="F8" s="30" t="s">
        <v>38</v>
      </c>
      <c r="G8" s="30" t="s">
        <v>39</v>
      </c>
    </row>
    <row r="9" spans="1:8" ht="21.75" customHeight="1" x14ac:dyDescent="0.45">
      <c r="B9" s="4" t="s">
        <v>40</v>
      </c>
      <c r="C9" s="4"/>
      <c r="D9" s="4"/>
      <c r="E9" s="4"/>
      <c r="F9" s="4"/>
      <c r="G9" s="4"/>
    </row>
    <row r="10" spans="1:8" ht="19.5" customHeight="1" x14ac:dyDescent="0.45">
      <c r="C10" s="31" t="s">
        <v>41</v>
      </c>
      <c r="D10" s="32">
        <v>10000</v>
      </c>
      <c r="E10" s="19">
        <f t="shared" ref="E10:E16" si="0">D10*12</f>
        <v>120000</v>
      </c>
      <c r="F10" s="33">
        <f>IF(D6&gt;0,D10/D6*100,0)</f>
        <v>10</v>
      </c>
      <c r="G10" s="34"/>
    </row>
    <row r="11" spans="1:8" ht="19.5" customHeight="1" x14ac:dyDescent="0.45">
      <c r="C11" s="35" t="s">
        <v>42</v>
      </c>
      <c r="D11" s="32">
        <v>2000</v>
      </c>
      <c r="E11" s="22">
        <f t="shared" si="0"/>
        <v>24000</v>
      </c>
      <c r="F11" s="36">
        <f>IF(D6&gt;0,D11/D6*100,0)</f>
        <v>2</v>
      </c>
      <c r="G11" s="34"/>
    </row>
    <row r="12" spans="1:8" ht="19.5" customHeight="1" x14ac:dyDescent="0.45">
      <c r="C12" s="31" t="s">
        <v>43</v>
      </c>
      <c r="D12" s="32">
        <v>0</v>
      </c>
      <c r="E12" s="19">
        <f t="shared" si="0"/>
        <v>0</v>
      </c>
      <c r="F12" s="33">
        <f>IF(D6&gt;0,D12/D6*100,0)</f>
        <v>0</v>
      </c>
      <c r="G12" s="34"/>
    </row>
    <row r="13" spans="1:8" ht="19.5" customHeight="1" x14ac:dyDescent="0.45">
      <c r="C13" s="35" t="s">
        <v>44</v>
      </c>
      <c r="D13" s="32">
        <v>0</v>
      </c>
      <c r="E13" s="22">
        <f t="shared" si="0"/>
        <v>0</v>
      </c>
      <c r="F13" s="36">
        <f>IF(D6&gt;0,D13/D6*100,0)</f>
        <v>0</v>
      </c>
      <c r="G13" s="34"/>
    </row>
    <row r="14" spans="1:8" ht="19.5" customHeight="1" x14ac:dyDescent="0.45">
      <c r="C14" s="31" t="s">
        <v>45</v>
      </c>
      <c r="D14" s="32">
        <v>0</v>
      </c>
      <c r="E14" s="19">
        <f t="shared" si="0"/>
        <v>0</v>
      </c>
      <c r="F14" s="33">
        <f>IF(D6&gt;0,D14/D6*100,0)</f>
        <v>0</v>
      </c>
      <c r="G14" s="34"/>
    </row>
    <row r="15" spans="1:8" ht="19.5" customHeight="1" x14ac:dyDescent="0.45">
      <c r="C15" s="35" t="s">
        <v>46</v>
      </c>
      <c r="D15" s="32">
        <v>0</v>
      </c>
      <c r="E15" s="22">
        <f t="shared" si="0"/>
        <v>0</v>
      </c>
      <c r="F15" s="36">
        <f>IF(D6&gt;0,D15/D6*100,0)</f>
        <v>0</v>
      </c>
      <c r="G15" s="34"/>
    </row>
    <row r="16" spans="1:8" ht="21.75" customHeight="1" x14ac:dyDescent="0.45">
      <c r="B16" s="3" t="s">
        <v>47</v>
      </c>
      <c r="C16" s="3"/>
      <c r="D16" s="37">
        <f>SUM(D10:D15)</f>
        <v>12000</v>
      </c>
      <c r="E16" s="38">
        <f t="shared" si="0"/>
        <v>144000</v>
      </c>
      <c r="F16" s="39">
        <f>IF(D6&gt;0,D16/D6*100,0)</f>
        <v>12</v>
      </c>
    </row>
    <row r="18" spans="2:7" ht="21.75" customHeight="1" x14ac:dyDescent="0.45">
      <c r="B18" s="4" t="s">
        <v>48</v>
      </c>
      <c r="C18" s="4"/>
      <c r="D18" s="4"/>
      <c r="E18" s="4"/>
      <c r="F18" s="4"/>
      <c r="G18" s="4"/>
    </row>
    <row r="19" spans="2:7" ht="19.5" customHeight="1" x14ac:dyDescent="0.45">
      <c r="C19" s="35" t="s">
        <v>49</v>
      </c>
      <c r="D19" s="32">
        <v>0</v>
      </c>
      <c r="E19" s="22">
        <f>D19*12</f>
        <v>0</v>
      </c>
      <c r="F19" s="36">
        <f>IF(D6&gt;0,D19/D6*100,0)</f>
        <v>0</v>
      </c>
      <c r="G19" s="34"/>
    </row>
    <row r="20" spans="2:7" ht="25.5" customHeight="1" x14ac:dyDescent="0.45">
      <c r="C20" s="31" t="s">
        <v>50</v>
      </c>
      <c r="D20" s="32">
        <v>5000</v>
      </c>
      <c r="E20" s="19">
        <f>D20*12</f>
        <v>60000</v>
      </c>
      <c r="F20" s="33">
        <f>IF(D6&gt;0,D20/D6*100,0)</f>
        <v>5</v>
      </c>
      <c r="G20" s="34"/>
    </row>
    <row r="21" spans="2:7" ht="19.5" customHeight="1" x14ac:dyDescent="0.45">
      <c r="C21" s="35" t="s">
        <v>51</v>
      </c>
      <c r="D21" s="32">
        <v>0</v>
      </c>
      <c r="E21" s="22">
        <f>D21*12</f>
        <v>0</v>
      </c>
      <c r="F21" s="36">
        <f>IF(D6&gt;0,D21/D6*100,0)</f>
        <v>0</v>
      </c>
      <c r="G21" s="34"/>
    </row>
    <row r="22" spans="2:7" ht="19.5" customHeight="1" x14ac:dyDescent="0.45">
      <c r="C22" s="31" t="s">
        <v>52</v>
      </c>
      <c r="D22" s="32">
        <v>0</v>
      </c>
      <c r="E22" s="19">
        <f>D22*12</f>
        <v>0</v>
      </c>
      <c r="F22" s="33">
        <f>IF(D6&gt;0,D22/D6*100,0)</f>
        <v>0</v>
      </c>
      <c r="G22" s="34"/>
    </row>
    <row r="23" spans="2:7" ht="21.75" customHeight="1" x14ac:dyDescent="0.45">
      <c r="B23" s="3" t="s">
        <v>53</v>
      </c>
      <c r="C23" s="3"/>
      <c r="D23" s="37">
        <f>SUM(D19:D22)</f>
        <v>5000</v>
      </c>
      <c r="E23" s="38">
        <f>D23*12</f>
        <v>60000</v>
      </c>
      <c r="F23" s="39">
        <f>IF(D6&gt;0,D23/D6*100,0)</f>
        <v>5</v>
      </c>
    </row>
    <row r="25" spans="2:7" ht="21.75" customHeight="1" x14ac:dyDescent="0.45">
      <c r="B25" s="4" t="s">
        <v>54</v>
      </c>
      <c r="C25" s="4"/>
      <c r="D25" s="4"/>
      <c r="E25" s="4"/>
      <c r="F25" s="4"/>
      <c r="G25" s="4"/>
    </row>
    <row r="26" spans="2:7" ht="19.5" customHeight="1" x14ac:dyDescent="0.45">
      <c r="C26" s="31" t="s">
        <v>55</v>
      </c>
      <c r="D26" s="32">
        <v>5000</v>
      </c>
      <c r="E26" s="19">
        <f t="shared" ref="E26:E32" si="1">D26*12</f>
        <v>60000</v>
      </c>
      <c r="F26" s="33">
        <f>IF(D6&gt;0,D26/D6*100,0)</f>
        <v>5</v>
      </c>
      <c r="G26" s="34"/>
    </row>
    <row r="27" spans="2:7" ht="19.5" customHeight="1" x14ac:dyDescent="0.45">
      <c r="C27" s="35" t="s">
        <v>56</v>
      </c>
      <c r="D27" s="32">
        <v>0</v>
      </c>
      <c r="E27" s="22">
        <f t="shared" si="1"/>
        <v>0</v>
      </c>
      <c r="F27" s="36">
        <f>IF(D6&gt;0,D27/D6*100,0)</f>
        <v>0</v>
      </c>
      <c r="G27" s="34"/>
    </row>
    <row r="28" spans="2:7" ht="19.5" customHeight="1" x14ac:dyDescent="0.45">
      <c r="C28" s="31" t="s">
        <v>57</v>
      </c>
      <c r="D28" s="32">
        <v>0</v>
      </c>
      <c r="E28" s="19">
        <f t="shared" si="1"/>
        <v>0</v>
      </c>
      <c r="F28" s="33">
        <f>IF(D6&gt;0,D28/D6*100,0)</f>
        <v>0</v>
      </c>
      <c r="G28" s="34"/>
    </row>
    <row r="29" spans="2:7" ht="19.5" customHeight="1" x14ac:dyDescent="0.45">
      <c r="C29" s="35" t="s">
        <v>58</v>
      </c>
      <c r="D29" s="32">
        <v>0</v>
      </c>
      <c r="E29" s="22">
        <f t="shared" si="1"/>
        <v>0</v>
      </c>
      <c r="F29" s="36">
        <f>IF(D6&gt;0,D29/D6*100,0)</f>
        <v>0</v>
      </c>
      <c r="G29" s="34"/>
    </row>
    <row r="30" spans="2:7" ht="19.5" customHeight="1" x14ac:dyDescent="0.45">
      <c r="C30" s="31" t="s">
        <v>59</v>
      </c>
      <c r="D30" s="32">
        <v>0</v>
      </c>
      <c r="E30" s="19">
        <f t="shared" si="1"/>
        <v>0</v>
      </c>
      <c r="F30" s="33">
        <f>IF(D6&gt;0,D30/D6*100,0)</f>
        <v>0</v>
      </c>
      <c r="G30" s="34"/>
    </row>
    <row r="31" spans="2:7" ht="19.5" customHeight="1" x14ac:dyDescent="0.45">
      <c r="C31" s="35" t="s">
        <v>60</v>
      </c>
      <c r="D31" s="32">
        <v>0</v>
      </c>
      <c r="E31" s="22">
        <f t="shared" si="1"/>
        <v>0</v>
      </c>
      <c r="F31" s="36">
        <f>IF(D6&gt;0,D31/D6*100,0)</f>
        <v>0</v>
      </c>
      <c r="G31" s="34"/>
    </row>
    <row r="32" spans="2:7" ht="21.75" customHeight="1" x14ac:dyDescent="0.45">
      <c r="B32" s="3" t="s">
        <v>61</v>
      </c>
      <c r="C32" s="3"/>
      <c r="D32" s="37">
        <f>SUM(D26:D31)</f>
        <v>5000</v>
      </c>
      <c r="E32" s="38">
        <f t="shared" si="1"/>
        <v>60000</v>
      </c>
      <c r="F32" s="39">
        <f>IF(D6&gt;0,D32/D6*100,0)</f>
        <v>5</v>
      </c>
    </row>
    <row r="34" spans="2:7" ht="21.75" customHeight="1" x14ac:dyDescent="0.45">
      <c r="B34" s="4" t="s">
        <v>62</v>
      </c>
      <c r="C34" s="4"/>
      <c r="D34" s="4"/>
      <c r="E34" s="4"/>
      <c r="F34" s="4"/>
      <c r="G34" s="4"/>
    </row>
    <row r="35" spans="2:7" ht="19.5" customHeight="1" x14ac:dyDescent="0.45">
      <c r="C35" s="35" t="s">
        <v>63</v>
      </c>
      <c r="D35" s="32">
        <v>0</v>
      </c>
      <c r="E35" s="22">
        <f>D35*12</f>
        <v>0</v>
      </c>
      <c r="F35" s="36">
        <f>IF(D6&gt;0,D35/D6*100,0)</f>
        <v>0</v>
      </c>
      <c r="G35" s="34"/>
    </row>
    <row r="36" spans="2:7" ht="19.5" customHeight="1" x14ac:dyDescent="0.45">
      <c r="C36" s="31" t="s">
        <v>64</v>
      </c>
      <c r="D36" s="32">
        <v>2000</v>
      </c>
      <c r="E36" s="19">
        <f>D36*12</f>
        <v>24000</v>
      </c>
      <c r="F36" s="33">
        <f>IF(D6&gt;0,D36/D6*100,0)</f>
        <v>2</v>
      </c>
      <c r="G36" s="34"/>
    </row>
    <row r="37" spans="2:7" ht="19.5" customHeight="1" x14ac:dyDescent="0.45">
      <c r="C37" s="35" t="s">
        <v>65</v>
      </c>
      <c r="D37" s="32">
        <v>0</v>
      </c>
      <c r="E37" s="22">
        <f>D37*12</f>
        <v>0</v>
      </c>
      <c r="F37" s="36">
        <f>IF(D6&gt;0,D37/D6*100,0)</f>
        <v>0</v>
      </c>
      <c r="G37" s="34"/>
    </row>
    <row r="38" spans="2:7" ht="19.5" customHeight="1" x14ac:dyDescent="0.45">
      <c r="C38" s="31" t="s">
        <v>66</v>
      </c>
      <c r="D38" s="32">
        <v>0</v>
      </c>
      <c r="E38" s="19">
        <f>D38*12</f>
        <v>0</v>
      </c>
      <c r="F38" s="33">
        <f>IF(D6&gt;0,D38/D6*100,0)</f>
        <v>0</v>
      </c>
      <c r="G38" s="34"/>
    </row>
    <row r="39" spans="2:7" ht="21.75" customHeight="1" x14ac:dyDescent="0.45">
      <c r="B39" s="3" t="s">
        <v>67</v>
      </c>
      <c r="C39" s="3"/>
      <c r="D39" s="37">
        <f>SUM(D35:D38)</f>
        <v>2000</v>
      </c>
      <c r="E39" s="38">
        <f>D39*12</f>
        <v>24000</v>
      </c>
      <c r="F39" s="39">
        <f>IF(D6&gt;0,D39/D6*100,0)</f>
        <v>2</v>
      </c>
    </row>
    <row r="40" spans="2:7" ht="15" customHeight="1" x14ac:dyDescent="0.45">
      <c r="D40" s="40"/>
    </row>
    <row r="41" spans="2:7" ht="21.75" customHeight="1" x14ac:dyDescent="0.45">
      <c r="B41" s="4" t="s">
        <v>68</v>
      </c>
      <c r="C41" s="4"/>
      <c r="D41" s="4"/>
      <c r="E41" s="4"/>
      <c r="F41" s="4"/>
      <c r="G41" s="4"/>
    </row>
    <row r="42" spans="2:7" ht="19.5" customHeight="1" x14ac:dyDescent="0.45">
      <c r="C42" s="31" t="s">
        <v>69</v>
      </c>
      <c r="D42" s="41">
        <v>1500</v>
      </c>
      <c r="E42" s="19">
        <f>D42*12</f>
        <v>18000</v>
      </c>
      <c r="F42" s="33">
        <f>IF(D6&gt;0,D42/D6*100,0)</f>
        <v>1.5</v>
      </c>
      <c r="G42" s="34"/>
    </row>
    <row r="43" spans="2:7" ht="19.5" customHeight="1" x14ac:dyDescent="0.45">
      <c r="C43" s="35" t="s">
        <v>70</v>
      </c>
      <c r="D43" s="32">
        <v>0</v>
      </c>
      <c r="E43" s="22">
        <f>D43*12</f>
        <v>0</v>
      </c>
      <c r="F43" s="36">
        <f>IF(D6&gt;0,D43/D6*100,0)</f>
        <v>0</v>
      </c>
      <c r="G43" s="34"/>
    </row>
    <row r="44" spans="2:7" ht="19.5" customHeight="1" x14ac:dyDescent="0.45">
      <c r="C44" s="31" t="s">
        <v>71</v>
      </c>
      <c r="D44" s="32">
        <v>0</v>
      </c>
      <c r="E44" s="19">
        <f>D44*12</f>
        <v>0</v>
      </c>
      <c r="F44" s="33">
        <f>IF(D6&gt;0,D44/D6*100,0)</f>
        <v>0</v>
      </c>
      <c r="G44" s="34"/>
    </row>
    <row r="45" spans="2:7" ht="21.75" customHeight="1" x14ac:dyDescent="0.45">
      <c r="B45" s="3" t="s">
        <v>72</v>
      </c>
      <c r="C45" s="3"/>
      <c r="D45" s="37">
        <f>SUM(D42:D44)</f>
        <v>1500</v>
      </c>
      <c r="E45" s="38">
        <f>D45*12</f>
        <v>18000</v>
      </c>
      <c r="F45" s="39">
        <f>IF(D6&gt;0,D45/D6*100,0)</f>
        <v>1.5</v>
      </c>
    </row>
    <row r="47" spans="2:7" ht="21.75" customHeight="1" x14ac:dyDescent="0.45">
      <c r="B47" s="4" t="s">
        <v>73</v>
      </c>
      <c r="C47" s="4"/>
      <c r="D47" s="4"/>
      <c r="E47" s="4"/>
      <c r="F47" s="4"/>
      <c r="G47" s="4"/>
    </row>
    <row r="48" spans="2:7" ht="19.5" customHeight="1" x14ac:dyDescent="0.45">
      <c r="C48" s="31" t="s">
        <v>74</v>
      </c>
      <c r="D48" s="32">
        <v>500</v>
      </c>
      <c r="E48" s="19">
        <f>D48*12</f>
        <v>6000</v>
      </c>
      <c r="F48" s="33">
        <f>IF(D6&gt;0,D48/D6*100,0)</f>
        <v>0.5</v>
      </c>
      <c r="G48" s="34"/>
    </row>
    <row r="49" spans="2:7" ht="19.5" customHeight="1" x14ac:dyDescent="0.45">
      <c r="C49" s="35" t="s">
        <v>75</v>
      </c>
      <c r="D49" s="32">
        <v>0</v>
      </c>
      <c r="E49" s="22">
        <f>D49*12</f>
        <v>0</v>
      </c>
      <c r="F49" s="36">
        <f>IF(D6&gt;0,D49/D6*100,0)</f>
        <v>0</v>
      </c>
      <c r="G49" s="34"/>
    </row>
    <row r="50" spans="2:7" ht="19.5" customHeight="1" x14ac:dyDescent="0.45">
      <c r="C50" s="31" t="s">
        <v>76</v>
      </c>
      <c r="D50" s="32">
        <v>0</v>
      </c>
      <c r="E50" s="19">
        <f>D50*12</f>
        <v>0</v>
      </c>
      <c r="F50" s="33">
        <f>IF(D6&gt;0,D50/D6*100,0)</f>
        <v>0</v>
      </c>
      <c r="G50" s="34"/>
    </row>
    <row r="51" spans="2:7" ht="19.5" customHeight="1" x14ac:dyDescent="0.45">
      <c r="C51" s="35" t="s">
        <v>77</v>
      </c>
      <c r="D51" s="32">
        <v>0</v>
      </c>
      <c r="E51" s="22">
        <f>D51*12</f>
        <v>0</v>
      </c>
      <c r="F51" s="36">
        <f>IF(D6&gt;0,D51/D6*100,0)</f>
        <v>0</v>
      </c>
      <c r="G51" s="34"/>
    </row>
    <row r="52" spans="2:7" ht="21.75" customHeight="1" x14ac:dyDescent="0.45">
      <c r="B52" s="3" t="s">
        <v>78</v>
      </c>
      <c r="C52" s="3"/>
      <c r="D52" s="37">
        <f>SUM(D48:D51)</f>
        <v>500</v>
      </c>
      <c r="E52" s="38">
        <f>D52*12</f>
        <v>6000</v>
      </c>
      <c r="F52" s="39">
        <f>IF(D6&gt;0,D52/D6*100,0)</f>
        <v>0.5</v>
      </c>
    </row>
    <row r="54" spans="2:7" ht="21.75" customHeight="1" x14ac:dyDescent="0.45">
      <c r="B54" s="4" t="s">
        <v>79</v>
      </c>
      <c r="C54" s="4"/>
      <c r="D54" s="4"/>
      <c r="E54" s="4"/>
      <c r="F54" s="4"/>
      <c r="G54" s="4"/>
    </row>
    <row r="55" spans="2:7" ht="19.5" customHeight="1" x14ac:dyDescent="0.45">
      <c r="C55" s="35" t="s">
        <v>80</v>
      </c>
      <c r="D55" s="32">
        <v>15000</v>
      </c>
      <c r="E55" s="22">
        <f>D55*12</f>
        <v>180000</v>
      </c>
      <c r="F55" s="36">
        <f>IF(D6&gt;0,D55/D6*100,0)</f>
        <v>15</v>
      </c>
      <c r="G55" s="34"/>
    </row>
    <row r="56" spans="2:7" ht="19.5" customHeight="1" x14ac:dyDescent="0.45">
      <c r="C56" s="31" t="s">
        <v>81</v>
      </c>
      <c r="D56" s="32">
        <v>400</v>
      </c>
      <c r="E56" s="19">
        <f>D56*12</f>
        <v>4800</v>
      </c>
      <c r="F56" s="33">
        <f>IF(D6&gt;0,D56/D6*100,0)</f>
        <v>0.4</v>
      </c>
      <c r="G56" s="34"/>
    </row>
    <row r="57" spans="2:7" ht="19.5" customHeight="1" x14ac:dyDescent="0.45">
      <c r="C57" s="35" t="s">
        <v>82</v>
      </c>
      <c r="D57" s="32">
        <v>0</v>
      </c>
      <c r="E57" s="22">
        <f>D57*12</f>
        <v>0</v>
      </c>
      <c r="F57" s="36">
        <f>IF(D6&gt;0,D57/D6*100,0)</f>
        <v>0</v>
      </c>
      <c r="G57" s="34"/>
    </row>
    <row r="58" spans="2:7" ht="19.5" customHeight="1" x14ac:dyDescent="0.45">
      <c r="C58" s="31" t="s">
        <v>83</v>
      </c>
      <c r="D58" s="32">
        <v>0</v>
      </c>
      <c r="E58" s="19">
        <f>D58*12</f>
        <v>0</v>
      </c>
      <c r="F58" s="33">
        <f>IF(D6&gt;0,D58/D6*100,0)</f>
        <v>0</v>
      </c>
      <c r="G58" s="34"/>
    </row>
    <row r="59" spans="2:7" ht="21.75" customHeight="1" x14ac:dyDescent="0.45">
      <c r="B59" s="3" t="s">
        <v>84</v>
      </c>
      <c r="C59" s="3"/>
      <c r="D59" s="37">
        <f>SUM(D55:D58)</f>
        <v>15400</v>
      </c>
      <c r="E59" s="38">
        <f>D59*12</f>
        <v>184800</v>
      </c>
      <c r="F59" s="39">
        <f>IF(D6&gt;0,D59/D6*100,0)</f>
        <v>15.4</v>
      </c>
    </row>
    <row r="61" spans="2:7" ht="21.75" customHeight="1" x14ac:dyDescent="0.45">
      <c r="B61" s="4" t="s">
        <v>85</v>
      </c>
      <c r="C61" s="4"/>
      <c r="D61" s="4"/>
      <c r="E61" s="4"/>
      <c r="F61" s="4"/>
      <c r="G61" s="4"/>
    </row>
    <row r="62" spans="2:7" ht="19.5" customHeight="1" x14ac:dyDescent="0.45">
      <c r="C62" s="31" t="s">
        <v>86</v>
      </c>
      <c r="D62" s="32">
        <v>0</v>
      </c>
      <c r="E62" s="19">
        <f t="shared" ref="E62:E68" si="2">D62*12</f>
        <v>0</v>
      </c>
      <c r="F62" s="33">
        <f>IF(D6&gt;0,D62/D6*100,0)</f>
        <v>0</v>
      </c>
      <c r="G62" s="34"/>
    </row>
    <row r="63" spans="2:7" ht="19.5" customHeight="1" x14ac:dyDescent="0.45">
      <c r="C63" s="35" t="s">
        <v>87</v>
      </c>
      <c r="D63" s="32">
        <v>3000</v>
      </c>
      <c r="E63" s="22">
        <f t="shared" si="2"/>
        <v>36000</v>
      </c>
      <c r="F63" s="36">
        <f>IF(D6&gt;0,D63/D6*100,0)</f>
        <v>3</v>
      </c>
      <c r="G63" s="34"/>
    </row>
    <row r="64" spans="2:7" ht="19.5" customHeight="1" x14ac:dyDescent="0.45">
      <c r="C64" s="31" t="s">
        <v>88</v>
      </c>
      <c r="D64" s="32">
        <v>0</v>
      </c>
      <c r="E64" s="19">
        <f t="shared" si="2"/>
        <v>0</v>
      </c>
      <c r="F64" s="33">
        <f>IF(D6&gt;0,D64/D6*100,0)</f>
        <v>0</v>
      </c>
      <c r="G64" s="34"/>
    </row>
    <row r="65" spans="2:7" ht="19.5" customHeight="1" x14ac:dyDescent="0.45">
      <c r="C65" s="35" t="s">
        <v>89</v>
      </c>
      <c r="D65" s="32">
        <v>0</v>
      </c>
      <c r="E65" s="22">
        <f t="shared" si="2"/>
        <v>0</v>
      </c>
      <c r="F65" s="36">
        <f>IF(D6&gt;0,D65/D6*100,0)</f>
        <v>0</v>
      </c>
      <c r="G65" s="34"/>
    </row>
    <row r="66" spans="2:7" ht="19.5" customHeight="1" x14ac:dyDescent="0.45">
      <c r="C66" s="31" t="s">
        <v>90</v>
      </c>
      <c r="D66" s="32">
        <v>0</v>
      </c>
      <c r="E66" s="19">
        <f t="shared" si="2"/>
        <v>0</v>
      </c>
      <c r="F66" s="33">
        <f>IF(D6&gt;0,D66/D6*100,0)</f>
        <v>0</v>
      </c>
      <c r="G66" s="34"/>
    </row>
    <row r="67" spans="2:7" ht="19.5" customHeight="1" x14ac:dyDescent="0.45">
      <c r="C67" s="35" t="s">
        <v>91</v>
      </c>
      <c r="D67" s="32">
        <v>0</v>
      </c>
      <c r="E67" s="22">
        <f t="shared" si="2"/>
        <v>0</v>
      </c>
      <c r="F67" s="36">
        <f>IF(D6&gt;0,D67/D6*100,0)</f>
        <v>0</v>
      </c>
      <c r="G67" s="34"/>
    </row>
    <row r="68" spans="2:7" ht="21.75" customHeight="1" x14ac:dyDescent="0.45">
      <c r="B68" s="3" t="s">
        <v>92</v>
      </c>
      <c r="C68" s="3"/>
      <c r="D68" s="37">
        <f>SUM(D62:D67)</f>
        <v>3000</v>
      </c>
      <c r="E68" s="38">
        <f t="shared" si="2"/>
        <v>36000</v>
      </c>
      <c r="F68" s="39">
        <f>IF(D6&gt;0,D68/D6*100,0)</f>
        <v>3</v>
      </c>
    </row>
    <row r="70" spans="2:7" ht="21.75" customHeight="1" x14ac:dyDescent="0.45">
      <c r="B70" s="4" t="s">
        <v>93</v>
      </c>
      <c r="C70" s="4"/>
      <c r="D70" s="4"/>
      <c r="E70" s="4"/>
      <c r="F70" s="4"/>
      <c r="G70" s="4"/>
    </row>
    <row r="71" spans="2:7" ht="19.5" customHeight="1" x14ac:dyDescent="0.45">
      <c r="C71" s="35" t="s">
        <v>94</v>
      </c>
      <c r="D71" s="32">
        <v>0</v>
      </c>
      <c r="E71" s="22">
        <f>D71*12</f>
        <v>0</v>
      </c>
      <c r="F71" s="36">
        <f>IF(D6&gt;0,D71/D6*100,0)</f>
        <v>0</v>
      </c>
      <c r="G71" s="34"/>
    </row>
    <row r="72" spans="2:7" ht="19.5" customHeight="1" x14ac:dyDescent="0.45">
      <c r="C72" s="31" t="s">
        <v>95</v>
      </c>
      <c r="D72" s="32">
        <v>0</v>
      </c>
      <c r="E72" s="19">
        <f>D72*12</f>
        <v>0</v>
      </c>
      <c r="F72" s="33">
        <f>IF(D6&gt;0,D72/D6*100,0)</f>
        <v>0</v>
      </c>
      <c r="G72" s="34"/>
    </row>
    <row r="73" spans="2:7" ht="19.5" customHeight="1" x14ac:dyDescent="0.45">
      <c r="C73" s="35" t="s">
        <v>96</v>
      </c>
      <c r="D73" s="32">
        <v>0</v>
      </c>
      <c r="E73" s="22">
        <f>D73*12</f>
        <v>0</v>
      </c>
      <c r="F73" s="36">
        <f>IF(D6&gt;0,D73/D6*100,0)</f>
        <v>0</v>
      </c>
      <c r="G73" s="34"/>
    </row>
    <row r="74" spans="2:7" ht="19.5" customHeight="1" x14ac:dyDescent="0.45">
      <c r="C74" s="31" t="s">
        <v>97</v>
      </c>
      <c r="D74" s="32">
        <v>0</v>
      </c>
      <c r="E74" s="19">
        <f>D74*12</f>
        <v>0</v>
      </c>
      <c r="F74" s="33">
        <f>IF(D6&gt;0,D74/D6*100,0)</f>
        <v>0</v>
      </c>
      <c r="G74" s="34"/>
    </row>
    <row r="75" spans="2:7" ht="21.75" customHeight="1" x14ac:dyDescent="0.45">
      <c r="B75" s="3" t="s">
        <v>98</v>
      </c>
      <c r="C75" s="3"/>
      <c r="D75" s="37">
        <f>SUM(D71:D74)</f>
        <v>0</v>
      </c>
      <c r="E75" s="38">
        <f>D75*12</f>
        <v>0</v>
      </c>
      <c r="F75" s="39">
        <f>IF(D6&gt;0,D75/D6*100,0)</f>
        <v>0</v>
      </c>
    </row>
    <row r="77" spans="2:7" ht="27.75" customHeight="1" x14ac:dyDescent="0.45">
      <c r="B77" s="2" t="s">
        <v>99</v>
      </c>
      <c r="C77" s="2"/>
      <c r="D77" s="42">
        <f>D16+D23+D32+D39+D45+D52+D59+D68+D75</f>
        <v>44400</v>
      </c>
    </row>
    <row r="78" spans="2:7" ht="27.75" customHeight="1" x14ac:dyDescent="0.45">
      <c r="B78" s="1" t="s">
        <v>100</v>
      </c>
      <c r="C78" s="1"/>
      <c r="D78" s="43">
        <f>D6-D77</f>
        <v>55600</v>
      </c>
    </row>
    <row r="80" spans="2:7" ht="21.75" customHeight="1" x14ac:dyDescent="0.45">
      <c r="B80" s="68" t="s">
        <v>101</v>
      </c>
      <c r="C80" s="68"/>
      <c r="D80" s="68"/>
      <c r="E80" s="68"/>
      <c r="F80" s="68"/>
      <c r="G80" s="68"/>
    </row>
    <row r="81" spans="2:4" ht="19.5" customHeight="1" x14ac:dyDescent="0.45">
      <c r="B81" s="69" t="s">
        <v>102</v>
      </c>
      <c r="C81" s="69"/>
      <c r="D81" s="44">
        <f>D6*0.5</f>
        <v>50000</v>
      </c>
    </row>
    <row r="82" spans="2:4" ht="19.5" customHeight="1" x14ac:dyDescent="0.45">
      <c r="B82" s="69" t="s">
        <v>103</v>
      </c>
      <c r="C82" s="69"/>
      <c r="D82" s="44">
        <f>D6*0.3</f>
        <v>30000</v>
      </c>
    </row>
    <row r="83" spans="2:4" ht="19.5" customHeight="1" x14ac:dyDescent="0.45">
      <c r="B83" s="69" t="s">
        <v>104</v>
      </c>
      <c r="C83" s="69"/>
      <c r="D83" s="44">
        <f>D6*0.2</f>
        <v>20000</v>
      </c>
    </row>
  </sheetData>
  <mergeCells count="28">
    <mergeCell ref="B81:C81"/>
    <mergeCell ref="B82:C82"/>
    <mergeCell ref="B83:C83"/>
    <mergeCell ref="B70:G70"/>
    <mergeCell ref="B75:C75"/>
    <mergeCell ref="B77:C77"/>
    <mergeCell ref="B78:C78"/>
    <mergeCell ref="B80:G80"/>
    <mergeCell ref="B52:C52"/>
    <mergeCell ref="B54:G54"/>
    <mergeCell ref="B59:C59"/>
    <mergeCell ref="B61:G61"/>
    <mergeCell ref="B68:C68"/>
    <mergeCell ref="B34:G34"/>
    <mergeCell ref="B39:C39"/>
    <mergeCell ref="B41:G41"/>
    <mergeCell ref="B45:C45"/>
    <mergeCell ref="B47:G47"/>
    <mergeCell ref="B16:C16"/>
    <mergeCell ref="B18:G18"/>
    <mergeCell ref="B23:C23"/>
    <mergeCell ref="B25:G25"/>
    <mergeCell ref="B32:C32"/>
    <mergeCell ref="A1:H1"/>
    <mergeCell ref="A2:H2"/>
    <mergeCell ref="A3:H3"/>
    <mergeCell ref="B5:G5"/>
    <mergeCell ref="B9:G9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showGridLines="0" zoomScaleNormal="100" workbookViewId="0">
      <pane xSplit="1" ySplit="3" topLeftCell="B12" activePane="bottomRight" state="frozen"/>
      <selection pane="topRight" activeCell="B1" sqref="B1"/>
      <selection pane="bottomLeft" activeCell="A39" sqref="A39"/>
      <selection pane="bottomRight" activeCell="D26" sqref="D26"/>
    </sheetView>
  </sheetViews>
  <sheetFormatPr defaultColWidth="8.6640625" defaultRowHeight="14.25" x14ac:dyDescent="0.45"/>
  <cols>
    <col min="1" max="1" width="3" style="15" customWidth="1"/>
    <col min="2" max="2" width="32" style="15" customWidth="1"/>
    <col min="3" max="3" width="20" style="15" customWidth="1"/>
    <col min="4" max="5" width="22" style="15" customWidth="1"/>
    <col min="6" max="7" width="24" style="15" customWidth="1"/>
    <col min="8" max="8" width="5" style="15" customWidth="1"/>
  </cols>
  <sheetData>
    <row r="1" spans="1:8" ht="39.75" customHeight="1" x14ac:dyDescent="0.45">
      <c r="A1" s="14" t="s">
        <v>0</v>
      </c>
      <c r="B1" s="14"/>
      <c r="C1" s="14"/>
      <c r="D1" s="14"/>
      <c r="E1" s="14"/>
      <c r="F1" s="14"/>
      <c r="G1" s="14"/>
      <c r="H1" s="14"/>
    </row>
    <row r="2" spans="1:8" ht="21.75" customHeight="1" x14ac:dyDescent="0.45">
      <c r="A2" s="13" t="s">
        <v>105</v>
      </c>
      <c r="B2" s="13"/>
      <c r="C2" s="13"/>
      <c r="D2" s="13"/>
      <c r="E2" s="13"/>
      <c r="F2" s="13"/>
      <c r="G2" s="13"/>
      <c r="H2" s="13"/>
    </row>
    <row r="3" spans="1:8" ht="18" customHeight="1" x14ac:dyDescent="0.45">
      <c r="A3" s="12" t="s">
        <v>106</v>
      </c>
      <c r="B3" s="12"/>
      <c r="C3" s="12"/>
      <c r="D3" s="12"/>
      <c r="E3" s="12"/>
      <c r="F3" s="12"/>
      <c r="G3" s="12"/>
      <c r="H3" s="12"/>
    </row>
    <row r="5" spans="1:8" ht="37.5" customHeight="1" x14ac:dyDescent="0.45">
      <c r="B5" s="70" t="s">
        <v>107</v>
      </c>
      <c r="C5" s="70"/>
      <c r="D5" s="70"/>
      <c r="E5" s="70"/>
      <c r="F5" s="70"/>
      <c r="G5" s="70"/>
    </row>
    <row r="7" spans="1:8" ht="15" customHeight="1" x14ac:dyDescent="0.45">
      <c r="B7" s="11" t="s">
        <v>108</v>
      </c>
      <c r="C7" s="11"/>
      <c r="D7" s="11"/>
      <c r="E7" s="11"/>
      <c r="F7" s="11"/>
      <c r="G7" s="11"/>
    </row>
    <row r="8" spans="1:8" ht="21.75" customHeight="1" x14ac:dyDescent="0.45">
      <c r="B8" s="16" t="s">
        <v>109</v>
      </c>
      <c r="D8" s="29">
        <v>10000</v>
      </c>
      <c r="E8" s="44">
        <f t="shared" ref="E8:E15" si="0">D8*12</f>
        <v>120000</v>
      </c>
      <c r="F8" s="45" t="s">
        <v>110</v>
      </c>
    </row>
    <row r="9" spans="1:8" ht="21.75" customHeight="1" x14ac:dyDescent="0.45">
      <c r="B9" s="21" t="s">
        <v>111</v>
      </c>
      <c r="D9" s="29">
        <v>2000</v>
      </c>
      <c r="E9" s="44">
        <f t="shared" si="0"/>
        <v>24000</v>
      </c>
      <c r="F9" s="45" t="s">
        <v>110</v>
      </c>
    </row>
    <row r="10" spans="1:8" ht="21.75" customHeight="1" x14ac:dyDescent="0.45">
      <c r="B10" s="16" t="s">
        <v>112</v>
      </c>
      <c r="D10" s="29">
        <v>4000</v>
      </c>
      <c r="E10" s="44">
        <f t="shared" si="0"/>
        <v>48000</v>
      </c>
      <c r="F10" s="45" t="s">
        <v>110</v>
      </c>
    </row>
    <row r="11" spans="1:8" ht="21.75" customHeight="1" x14ac:dyDescent="0.45">
      <c r="B11" s="21" t="s">
        <v>113</v>
      </c>
      <c r="D11" s="29">
        <v>2000</v>
      </c>
      <c r="E11" s="44">
        <f t="shared" si="0"/>
        <v>24000</v>
      </c>
      <c r="F11" s="45" t="s">
        <v>110</v>
      </c>
    </row>
    <row r="12" spans="1:8" ht="21.75" customHeight="1" x14ac:dyDescent="0.45">
      <c r="B12" s="16" t="s">
        <v>114</v>
      </c>
      <c r="D12" s="29">
        <v>4000</v>
      </c>
      <c r="E12" s="44">
        <f t="shared" si="0"/>
        <v>48000</v>
      </c>
      <c r="F12" s="45" t="s">
        <v>110</v>
      </c>
    </row>
    <row r="13" spans="1:8" ht="21.75" customHeight="1" x14ac:dyDescent="0.45">
      <c r="B13" s="21" t="s">
        <v>115</v>
      </c>
      <c r="D13" s="29">
        <v>0</v>
      </c>
      <c r="E13" s="44">
        <f t="shared" si="0"/>
        <v>0</v>
      </c>
      <c r="F13" s="45" t="s">
        <v>110</v>
      </c>
    </row>
    <row r="14" spans="1:8" ht="21.75" customHeight="1" x14ac:dyDescent="0.45">
      <c r="B14" s="16" t="s">
        <v>116</v>
      </c>
      <c r="D14" s="29">
        <v>15000</v>
      </c>
      <c r="E14" s="44">
        <f t="shared" si="0"/>
        <v>180000</v>
      </c>
      <c r="F14" s="45" t="s">
        <v>110</v>
      </c>
    </row>
    <row r="15" spans="1:8" ht="21.75" customHeight="1" x14ac:dyDescent="0.45">
      <c r="B15" s="21" t="s">
        <v>117</v>
      </c>
      <c r="D15" s="29">
        <v>0</v>
      </c>
      <c r="E15" s="44">
        <f t="shared" si="0"/>
        <v>0</v>
      </c>
      <c r="F15" s="45" t="s">
        <v>110</v>
      </c>
    </row>
    <row r="16" spans="1:8" ht="24" customHeight="1" x14ac:dyDescent="0.45">
      <c r="B16" s="71" t="s">
        <v>118</v>
      </c>
      <c r="C16" s="71"/>
      <c r="D16" s="46">
        <f>SUM(D8:D15)</f>
        <v>37000</v>
      </c>
    </row>
    <row r="18" spans="2:7" ht="15" customHeight="1" x14ac:dyDescent="0.45">
      <c r="B18" s="8" t="s">
        <v>119</v>
      </c>
      <c r="C18" s="8"/>
      <c r="D18" s="8"/>
      <c r="E18" s="8"/>
      <c r="F18" s="8"/>
      <c r="G18" s="8"/>
    </row>
    <row r="19" spans="2:7" ht="26.25" customHeight="1" x14ac:dyDescent="0.45">
      <c r="B19" s="47" t="s">
        <v>120</v>
      </c>
      <c r="D19" s="48">
        <f>D16*3</f>
        <v>111000</v>
      </c>
      <c r="F19" s="72" t="str">
        <f>IF(D27&gt;=D20,"✅ 6M Fund Ready","⚠️ Building...")</f>
        <v>⚠️ Building...</v>
      </c>
      <c r="G19" s="72"/>
    </row>
    <row r="20" spans="2:7" ht="26.25" customHeight="1" x14ac:dyDescent="0.45">
      <c r="B20" s="47" t="s">
        <v>121</v>
      </c>
      <c r="D20" s="48">
        <f>D16*6</f>
        <v>222000</v>
      </c>
      <c r="F20" s="73" t="s">
        <v>122</v>
      </c>
      <c r="G20" s="73"/>
    </row>
    <row r="21" spans="2:7" ht="26.25" customHeight="1" x14ac:dyDescent="0.45">
      <c r="B21" s="47" t="s">
        <v>123</v>
      </c>
      <c r="D21" s="48">
        <f>D16*9</f>
        <v>333000</v>
      </c>
      <c r="F21" s="73" t="s">
        <v>124</v>
      </c>
      <c r="G21" s="73"/>
    </row>
    <row r="22" spans="2:7" ht="26.25" customHeight="1" x14ac:dyDescent="0.45">
      <c r="B22" s="47" t="s">
        <v>125</v>
      </c>
      <c r="D22" s="48">
        <f>D16*12</f>
        <v>444000</v>
      </c>
      <c r="F22" s="73" t="s">
        <v>126</v>
      </c>
      <c r="G22" s="73"/>
    </row>
    <row r="24" spans="2:7" ht="15" customHeight="1" x14ac:dyDescent="0.45">
      <c r="B24" s="11" t="s">
        <v>127</v>
      </c>
      <c r="C24" s="11"/>
      <c r="D24" s="11"/>
      <c r="E24" s="11"/>
      <c r="F24" s="11"/>
      <c r="G24" s="11"/>
    </row>
    <row r="25" spans="2:7" ht="15" customHeight="1" x14ac:dyDescent="0.45">
      <c r="B25" s="74" t="s">
        <v>128</v>
      </c>
      <c r="C25" s="74"/>
      <c r="D25" s="49">
        <v>6</v>
      </c>
    </row>
    <row r="26" spans="2:7" ht="15" customHeight="1" x14ac:dyDescent="0.45">
      <c r="B26" s="75" t="s">
        <v>129</v>
      </c>
      <c r="C26" s="75"/>
      <c r="D26" s="44">
        <f>D16*D25</f>
        <v>222000</v>
      </c>
    </row>
    <row r="27" spans="2:7" ht="15" customHeight="1" x14ac:dyDescent="0.45">
      <c r="B27" s="74" t="s">
        <v>130</v>
      </c>
      <c r="C27" s="74"/>
      <c r="D27" s="29">
        <v>50000</v>
      </c>
    </row>
    <row r="28" spans="2:7" ht="15" customHeight="1" x14ac:dyDescent="0.45">
      <c r="B28" s="75" t="s">
        <v>131</v>
      </c>
      <c r="C28" s="75"/>
      <c r="D28" s="44">
        <f>MAX(D26-D27,0)</f>
        <v>172000</v>
      </c>
    </row>
    <row r="29" spans="2:7" ht="15" customHeight="1" x14ac:dyDescent="0.45">
      <c r="B29" s="74" t="s">
        <v>132</v>
      </c>
      <c r="C29" s="74"/>
      <c r="D29" s="29">
        <v>15000</v>
      </c>
    </row>
    <row r="30" spans="2:7" ht="21.75" customHeight="1" x14ac:dyDescent="0.45">
      <c r="B30" s="75" t="s">
        <v>133</v>
      </c>
      <c r="C30" s="75"/>
      <c r="D30" s="50">
        <f>IF(D29&gt;0, ROUNDUP(D28/D29,0), "∞ Add monthly savings!")</f>
        <v>12</v>
      </c>
    </row>
    <row r="32" spans="2:7" ht="21.75" customHeight="1" x14ac:dyDescent="0.45">
      <c r="B32" s="51" t="s">
        <v>134</v>
      </c>
      <c r="C32" s="76" t="str">
        <f>IF(D26&gt;0, TEXT(MIN(D27/D26*100,100),"0.0")&amp;"% Complete ✅","Set your goal first")</f>
        <v>22.5% Complete ✅</v>
      </c>
      <c r="D32" s="76"/>
      <c r="E32" s="76"/>
      <c r="F32" s="76"/>
      <c r="G32" s="76"/>
    </row>
    <row r="34" spans="2:7" ht="15" customHeight="1" x14ac:dyDescent="0.45">
      <c r="B34" s="9" t="s">
        <v>135</v>
      </c>
      <c r="C34" s="9"/>
      <c r="D34" s="9"/>
      <c r="E34" s="9"/>
      <c r="F34" s="9"/>
      <c r="G34" s="9"/>
    </row>
    <row r="35" spans="2:7" ht="19.5" customHeight="1" x14ac:dyDescent="0.45">
      <c r="B35" s="18" t="s">
        <v>136</v>
      </c>
      <c r="D35" s="18" t="s">
        <v>137</v>
      </c>
      <c r="E35" s="18" t="s">
        <v>138</v>
      </c>
      <c r="F35" s="18" t="s">
        <v>139</v>
      </c>
    </row>
    <row r="36" spans="2:7" ht="19.5" customHeight="1" x14ac:dyDescent="0.45">
      <c r="B36" s="52" t="s">
        <v>140</v>
      </c>
      <c r="D36" s="52" t="s">
        <v>141</v>
      </c>
      <c r="E36" s="52" t="s">
        <v>142</v>
      </c>
      <c r="F36" s="52" t="s">
        <v>143</v>
      </c>
    </row>
    <row r="37" spans="2:7" ht="19.5" customHeight="1" x14ac:dyDescent="0.45">
      <c r="B37" s="53" t="s">
        <v>144</v>
      </c>
      <c r="D37" s="53" t="s">
        <v>145</v>
      </c>
      <c r="E37" s="53" t="s">
        <v>146</v>
      </c>
      <c r="F37" s="53" t="s">
        <v>147</v>
      </c>
    </row>
    <row r="38" spans="2:7" ht="19.5" customHeight="1" x14ac:dyDescent="0.45">
      <c r="B38" s="52" t="s">
        <v>148</v>
      </c>
      <c r="D38" s="52" t="s">
        <v>149</v>
      </c>
      <c r="E38" s="52" t="s">
        <v>150</v>
      </c>
      <c r="F38" s="52" t="s">
        <v>151</v>
      </c>
    </row>
    <row r="39" spans="2:7" ht="19.5" customHeight="1" x14ac:dyDescent="0.45">
      <c r="B39" s="53" t="s">
        <v>152</v>
      </c>
      <c r="D39" s="53" t="s">
        <v>153</v>
      </c>
      <c r="E39" s="53" t="s">
        <v>154</v>
      </c>
      <c r="F39" s="53" t="s">
        <v>155</v>
      </c>
    </row>
  </sheetData>
  <mergeCells count="20">
    <mergeCell ref="B28:C28"/>
    <mergeCell ref="B29:C29"/>
    <mergeCell ref="B30:C30"/>
    <mergeCell ref="C32:G32"/>
    <mergeCell ref="B34:G34"/>
    <mergeCell ref="F22:G22"/>
    <mergeCell ref="B24:G24"/>
    <mergeCell ref="B25:C25"/>
    <mergeCell ref="B26:C26"/>
    <mergeCell ref="B27:C27"/>
    <mergeCell ref="B16:C16"/>
    <mergeCell ref="B18:G18"/>
    <mergeCell ref="F19:G19"/>
    <mergeCell ref="F20:G20"/>
    <mergeCell ref="F21:G21"/>
    <mergeCell ref="A1:H1"/>
    <mergeCell ref="A2:H2"/>
    <mergeCell ref="A3:H3"/>
    <mergeCell ref="B5:G5"/>
    <mergeCell ref="B7:G7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7"/>
  <sheetViews>
    <sheetView showGridLines="0" zoomScaleNormal="100" workbookViewId="0">
      <pane xSplit="1" ySplit="3" topLeftCell="B20" activePane="bottomRight" state="frozen"/>
      <selection pane="topRight" activeCell="B1" sqref="B1"/>
      <selection pane="bottomLeft" activeCell="A29" sqref="A29"/>
      <selection pane="bottomRight" activeCell="D26" sqref="D26"/>
    </sheetView>
  </sheetViews>
  <sheetFormatPr defaultColWidth="8.6640625" defaultRowHeight="14.25" x14ac:dyDescent="0.45"/>
  <cols>
    <col min="1" max="1" width="3" style="15" customWidth="1"/>
    <col min="2" max="2" width="30" style="15" customWidth="1"/>
    <col min="3" max="3" width="24" style="15" customWidth="1"/>
    <col min="4" max="7" width="22" style="15" customWidth="1"/>
    <col min="8" max="8" width="5" style="15" customWidth="1"/>
  </cols>
  <sheetData>
    <row r="1" spans="1:8" ht="39.75" customHeight="1" x14ac:dyDescent="0.45">
      <c r="A1" s="14" t="s">
        <v>0</v>
      </c>
      <c r="B1" s="14"/>
      <c r="C1" s="14"/>
      <c r="D1" s="14"/>
      <c r="E1" s="14"/>
      <c r="F1" s="14"/>
      <c r="G1" s="14"/>
      <c r="H1" s="14"/>
    </row>
    <row r="2" spans="1:8" ht="21.75" customHeight="1" x14ac:dyDescent="0.45">
      <c r="A2" s="13" t="s">
        <v>156</v>
      </c>
      <c r="B2" s="13"/>
      <c r="C2" s="13"/>
      <c r="D2" s="13"/>
      <c r="E2" s="13"/>
      <c r="F2" s="13"/>
      <c r="G2" s="13"/>
      <c r="H2" s="13"/>
    </row>
    <row r="3" spans="1:8" ht="18" customHeight="1" x14ac:dyDescent="0.45">
      <c r="A3" s="12" t="s">
        <v>157</v>
      </c>
      <c r="B3" s="12"/>
      <c r="C3" s="12"/>
      <c r="D3" s="12"/>
      <c r="E3" s="12"/>
      <c r="F3" s="12"/>
      <c r="G3" s="12"/>
      <c r="H3" s="12"/>
    </row>
    <row r="5" spans="1:8" ht="43.5" customHeight="1" x14ac:dyDescent="0.45">
      <c r="B5" s="70" t="s">
        <v>158</v>
      </c>
      <c r="C5" s="70"/>
      <c r="D5" s="70"/>
      <c r="E5" s="70"/>
      <c r="F5" s="70"/>
      <c r="G5" s="70"/>
    </row>
    <row r="6" spans="1:8" ht="15" customHeight="1" x14ac:dyDescent="0.45">
      <c r="F6" s="40" t="str">
        <f>IF(D14&gt;0,"✅ Life Insured","❌ Get Term Plan")</f>
        <v>❌ Get Term Plan</v>
      </c>
    </row>
    <row r="7" spans="1:8" ht="21.75" customHeight="1" x14ac:dyDescent="0.45">
      <c r="B7" s="77" t="s">
        <v>159</v>
      </c>
      <c r="C7" s="77"/>
      <c r="D7" s="54">
        <f>'💸 Expenses'!D6*12</f>
        <v>1200000</v>
      </c>
    </row>
    <row r="9" spans="1:8" ht="15" customHeight="1" x14ac:dyDescent="0.45">
      <c r="B9" s="9" t="s">
        <v>160</v>
      </c>
      <c r="C9" s="9"/>
      <c r="D9" s="9"/>
      <c r="E9" s="9"/>
      <c r="F9" s="9"/>
      <c r="G9" s="9"/>
    </row>
    <row r="10" spans="1:8" ht="21.75" customHeight="1" x14ac:dyDescent="0.45">
      <c r="B10" s="78" t="s">
        <v>161</v>
      </c>
      <c r="C10" s="78"/>
      <c r="D10" s="44">
        <f>'💸 Expenses'!D6*12</f>
        <v>1200000</v>
      </c>
    </row>
    <row r="11" spans="1:8" ht="21.75" customHeight="1" x14ac:dyDescent="0.45">
      <c r="B11" s="79" t="s">
        <v>162</v>
      </c>
      <c r="C11" s="79"/>
      <c r="D11" s="44">
        <f>D10*10</f>
        <v>12000000</v>
      </c>
    </row>
    <row r="12" spans="1:8" ht="21.75" customHeight="1" x14ac:dyDescent="0.45">
      <c r="B12" s="78" t="s">
        <v>163</v>
      </c>
      <c r="C12" s="78"/>
      <c r="D12" s="44">
        <f>D10*15</f>
        <v>18000000</v>
      </c>
    </row>
    <row r="13" spans="1:8" ht="21.75" customHeight="1" x14ac:dyDescent="0.45">
      <c r="B13" s="80" t="s">
        <v>164</v>
      </c>
      <c r="C13" s="80"/>
      <c r="D13" s="29">
        <f>D10*E13</f>
        <v>14400000</v>
      </c>
      <c r="E13" s="34">
        <v>12</v>
      </c>
    </row>
    <row r="14" spans="1:8" ht="21.75" customHeight="1" x14ac:dyDescent="0.45">
      <c r="B14" s="81" t="s">
        <v>165</v>
      </c>
      <c r="C14" s="81"/>
      <c r="D14" s="29">
        <v>0</v>
      </c>
    </row>
    <row r="15" spans="1:8" ht="21.75" customHeight="1" x14ac:dyDescent="0.45">
      <c r="B15" s="79" t="s">
        <v>166</v>
      </c>
      <c r="C15" s="79"/>
      <c r="D15" s="44">
        <f>D13-D14</f>
        <v>14400000</v>
      </c>
      <c r="F15" s="82" t="str">
        <f>IF(D15&lt;0,"❌ UNDER-INSURED — Increase Cover","✅ Covered")</f>
        <v>✅ Covered</v>
      </c>
      <c r="G15" s="82"/>
    </row>
    <row r="16" spans="1:8" ht="21.75" customHeight="1" x14ac:dyDescent="0.45">
      <c r="B16" s="81" t="s">
        <v>167</v>
      </c>
      <c r="C16" s="81"/>
      <c r="D16" s="29">
        <v>0</v>
      </c>
    </row>
    <row r="17" spans="2:7" ht="21.75" customHeight="1" x14ac:dyDescent="0.45">
      <c r="B17" s="79" t="s">
        <v>168</v>
      </c>
      <c r="C17" s="79"/>
      <c r="D17" s="44">
        <f>D16*12</f>
        <v>0</v>
      </c>
    </row>
    <row r="19" spans="2:7" ht="15" customHeight="1" x14ac:dyDescent="0.45">
      <c r="B19" s="11" t="s">
        <v>169</v>
      </c>
      <c r="C19" s="11"/>
      <c r="D19" s="11"/>
      <c r="E19" s="11"/>
      <c r="F19" s="11"/>
      <c r="G19" s="11"/>
    </row>
    <row r="20" spans="2:7" ht="21.75" customHeight="1" x14ac:dyDescent="0.45">
      <c r="B20" s="83" t="s">
        <v>170</v>
      </c>
      <c r="C20" s="83"/>
      <c r="D20" s="29">
        <v>500000</v>
      </c>
    </row>
    <row r="21" spans="2:7" ht="21.75" customHeight="1" x14ac:dyDescent="0.45">
      <c r="B21" s="80" t="s">
        <v>171</v>
      </c>
      <c r="C21" s="80"/>
      <c r="D21" s="29">
        <v>0</v>
      </c>
    </row>
    <row r="22" spans="2:7" ht="21.75" customHeight="1" x14ac:dyDescent="0.45">
      <c r="B22" s="83" t="s">
        <v>172</v>
      </c>
      <c r="C22" s="83"/>
      <c r="D22" s="29">
        <v>100000</v>
      </c>
    </row>
    <row r="23" spans="2:7" ht="21.75" customHeight="1" x14ac:dyDescent="0.45">
      <c r="B23" s="80" t="s">
        <v>173</v>
      </c>
      <c r="C23" s="80"/>
      <c r="D23" s="29">
        <v>0</v>
      </c>
    </row>
    <row r="24" spans="2:7" ht="21.75" customHeight="1" x14ac:dyDescent="0.45">
      <c r="B24" s="84" t="s">
        <v>174</v>
      </c>
      <c r="C24" s="84"/>
      <c r="D24" s="44">
        <f>SUM(D20:D23)</f>
        <v>600000</v>
      </c>
    </row>
    <row r="25" spans="2:7" ht="21.75" customHeight="1" x14ac:dyDescent="0.45">
      <c r="B25" s="80" t="s">
        <v>175</v>
      </c>
      <c r="C25" s="80"/>
      <c r="D25" s="29">
        <v>800</v>
      </c>
    </row>
    <row r="26" spans="2:7" ht="21.75" customHeight="1" x14ac:dyDescent="0.45">
      <c r="B26" s="84" t="s">
        <v>176</v>
      </c>
      <c r="C26" s="84"/>
      <c r="D26" s="44">
        <f>D25*12</f>
        <v>9600</v>
      </c>
    </row>
    <row r="28" spans="2:7" ht="15" customHeight="1" x14ac:dyDescent="0.45">
      <c r="B28" s="8" t="s">
        <v>177</v>
      </c>
      <c r="C28" s="8"/>
      <c r="D28" s="8"/>
      <c r="E28" s="8"/>
      <c r="F28" s="8"/>
      <c r="G28" s="8"/>
    </row>
    <row r="29" spans="2:7" ht="21.75" customHeight="1" x14ac:dyDescent="0.45">
      <c r="B29" s="85" t="s">
        <v>178</v>
      </c>
      <c r="C29" s="85"/>
      <c r="D29" s="29">
        <v>0</v>
      </c>
    </row>
    <row r="30" spans="2:7" ht="21.75" customHeight="1" x14ac:dyDescent="0.45">
      <c r="B30" s="86" t="s">
        <v>179</v>
      </c>
      <c r="C30" s="86"/>
      <c r="D30" s="29">
        <v>0</v>
      </c>
    </row>
    <row r="31" spans="2:7" ht="21.75" customHeight="1" x14ac:dyDescent="0.45">
      <c r="B31" s="85" t="s">
        <v>180</v>
      </c>
      <c r="C31" s="85"/>
      <c r="D31" s="29">
        <v>0</v>
      </c>
    </row>
    <row r="32" spans="2:7" ht="21.75" customHeight="1" x14ac:dyDescent="0.45">
      <c r="B32" s="86" t="s">
        <v>181</v>
      </c>
      <c r="C32" s="86"/>
      <c r="D32" s="29">
        <v>0</v>
      </c>
    </row>
    <row r="33" spans="2:7" ht="21.75" customHeight="1" x14ac:dyDescent="0.45">
      <c r="B33" s="85" t="s">
        <v>182</v>
      </c>
      <c r="C33" s="85"/>
      <c r="D33" s="48">
        <f>SUM(D29:D32)</f>
        <v>0</v>
      </c>
    </row>
    <row r="35" spans="2:7" ht="25.5" customHeight="1" x14ac:dyDescent="0.45">
      <c r="B35" s="87" t="s">
        <v>183</v>
      </c>
      <c r="C35" s="87"/>
      <c r="D35" s="55">
        <f>D16+D25+D33</f>
        <v>800</v>
      </c>
    </row>
    <row r="37" spans="2:7" ht="37.5" customHeight="1" x14ac:dyDescent="0.45">
      <c r="B37" s="88" t="s">
        <v>184</v>
      </c>
      <c r="C37" s="88"/>
      <c r="D37" s="88"/>
      <c r="E37" s="88"/>
      <c r="F37" s="88"/>
      <c r="G37" s="88"/>
    </row>
  </sheetData>
  <mergeCells count="31">
    <mergeCell ref="B37:G37"/>
    <mergeCell ref="B30:C30"/>
    <mergeCell ref="B31:C31"/>
    <mergeCell ref="B32:C32"/>
    <mergeCell ref="B33:C33"/>
    <mergeCell ref="B35:C35"/>
    <mergeCell ref="B24:C24"/>
    <mergeCell ref="B25:C25"/>
    <mergeCell ref="B26:C26"/>
    <mergeCell ref="B28:G28"/>
    <mergeCell ref="B29:C29"/>
    <mergeCell ref="B19:G19"/>
    <mergeCell ref="B20:C20"/>
    <mergeCell ref="B21:C21"/>
    <mergeCell ref="B22:C22"/>
    <mergeCell ref="B23:C23"/>
    <mergeCell ref="B14:C14"/>
    <mergeCell ref="B15:C15"/>
    <mergeCell ref="F15:G15"/>
    <mergeCell ref="B16:C16"/>
    <mergeCell ref="B17:C17"/>
    <mergeCell ref="B9:G9"/>
    <mergeCell ref="B10:C10"/>
    <mergeCell ref="B11:C11"/>
    <mergeCell ref="B12:C12"/>
    <mergeCell ref="B13:C13"/>
    <mergeCell ref="A1:H1"/>
    <mergeCell ref="A2:H2"/>
    <mergeCell ref="A3:H3"/>
    <mergeCell ref="B5:G5"/>
    <mergeCell ref="B7:C7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2"/>
  <sheetViews>
    <sheetView showGridLines="0" zoomScaleNormal="100" workbookViewId="0">
      <pane xSplit="1" ySplit="3" topLeftCell="B21" activePane="bottomRight" state="frozen"/>
      <selection pane="topRight" activeCell="B1" sqref="B1"/>
      <selection pane="bottomLeft" activeCell="A4" sqref="A4"/>
      <selection pane="bottomRight" activeCell="D27" sqref="D27"/>
    </sheetView>
  </sheetViews>
  <sheetFormatPr defaultColWidth="8.6640625" defaultRowHeight="14.25" x14ac:dyDescent="0.45"/>
  <cols>
    <col min="1" max="1" width="3" style="15" customWidth="1"/>
    <col min="2" max="2" width="26" style="15" customWidth="1"/>
    <col min="3" max="3" width="16" style="15" customWidth="1"/>
    <col min="4" max="7" width="18" style="15" customWidth="1"/>
    <col min="8" max="8" width="20" style="15" customWidth="1"/>
    <col min="9" max="9" width="21.06640625" style="15" customWidth="1"/>
  </cols>
  <sheetData>
    <row r="1" spans="1:9" ht="39.75" customHeight="1" x14ac:dyDescent="0.45">
      <c r="A1" s="14" t="s">
        <v>0</v>
      </c>
      <c r="B1" s="14"/>
      <c r="C1" s="14"/>
      <c r="D1" s="14"/>
      <c r="E1" s="14"/>
      <c r="F1" s="14"/>
      <c r="G1" s="14"/>
      <c r="H1" s="14"/>
    </row>
    <row r="2" spans="1:9" ht="21.75" customHeight="1" x14ac:dyDescent="0.45">
      <c r="A2" s="13" t="s">
        <v>185</v>
      </c>
      <c r="B2" s="13"/>
      <c r="C2" s="13"/>
      <c r="D2" s="13"/>
      <c r="E2" s="13"/>
      <c r="F2" s="13"/>
      <c r="G2" s="13"/>
      <c r="H2" s="13"/>
    </row>
    <row r="3" spans="1:9" ht="18" customHeight="1" x14ac:dyDescent="0.45">
      <c r="A3" s="12" t="s">
        <v>186</v>
      </c>
      <c r="B3" s="12"/>
      <c r="C3" s="12"/>
      <c r="D3" s="12"/>
      <c r="E3" s="12"/>
      <c r="F3" s="12"/>
      <c r="G3" s="12"/>
      <c r="H3" s="12"/>
    </row>
    <row r="5" spans="1:9" ht="36" customHeight="1" x14ac:dyDescent="0.45">
      <c r="B5" s="89" t="s">
        <v>187</v>
      </c>
      <c r="C5" s="89"/>
      <c r="D5" s="89"/>
      <c r="E5" s="89"/>
      <c r="F5" s="89"/>
      <c r="G5" s="89"/>
      <c r="H5" s="89"/>
    </row>
    <row r="7" spans="1:9" ht="15" customHeight="1" x14ac:dyDescent="0.45">
      <c r="B7" s="9" t="s">
        <v>188</v>
      </c>
      <c r="C7" s="9"/>
      <c r="D7" s="9"/>
      <c r="E7" s="9"/>
      <c r="F7" s="9"/>
      <c r="G7" s="9"/>
      <c r="H7" s="9"/>
      <c r="I7" s="9"/>
    </row>
    <row r="8" spans="1:9" ht="21.75" customHeight="1" x14ac:dyDescent="0.45">
      <c r="B8" s="18" t="s">
        <v>189</v>
      </c>
      <c r="C8" s="18" t="s">
        <v>13</v>
      </c>
      <c r="D8" s="18" t="s">
        <v>190</v>
      </c>
      <c r="E8" s="18" t="s">
        <v>15</v>
      </c>
      <c r="F8" s="18" t="s">
        <v>191</v>
      </c>
      <c r="G8" s="18" t="s">
        <v>192</v>
      </c>
      <c r="H8" s="18" t="s">
        <v>193</v>
      </c>
      <c r="I8" s="18" t="s">
        <v>194</v>
      </c>
    </row>
    <row r="9" spans="1:9" ht="21.75" customHeight="1" x14ac:dyDescent="0.45">
      <c r="B9" s="90" t="s">
        <v>195</v>
      </c>
      <c r="C9" s="90"/>
      <c r="D9" s="90"/>
      <c r="E9" s="90"/>
      <c r="F9" s="90"/>
      <c r="G9" s="90"/>
      <c r="H9" s="90"/>
      <c r="I9" s="90"/>
    </row>
    <row r="10" spans="1:9" ht="21.75" customHeight="1" x14ac:dyDescent="0.45">
      <c r="B10" s="31" t="s">
        <v>196</v>
      </c>
      <c r="C10" s="56" t="s">
        <v>197</v>
      </c>
      <c r="D10" s="29">
        <v>2000</v>
      </c>
      <c r="E10" s="57">
        <f>D10*12</f>
        <v>24000</v>
      </c>
      <c r="F10" s="58">
        <v>6.5</v>
      </c>
      <c r="G10" s="59">
        <v>1</v>
      </c>
      <c r="H10" s="44">
        <f>IF(D10&gt;0, D10*(((1+F10/12/100)^(G10*12)-1)/(F10/12/100))*(1+F10/12/100), 0)</f>
        <v>24862.012135713299</v>
      </c>
      <c r="I10" s="60" t="s">
        <v>198</v>
      </c>
    </row>
    <row r="11" spans="1:9" ht="21.75" customHeight="1" x14ac:dyDescent="0.45">
      <c r="B11" s="35" t="s">
        <v>199</v>
      </c>
      <c r="C11" s="61" t="s">
        <v>197</v>
      </c>
      <c r="D11" s="29">
        <v>0</v>
      </c>
      <c r="E11" s="62">
        <f>D11*12</f>
        <v>0</v>
      </c>
      <c r="F11" s="58">
        <v>7</v>
      </c>
      <c r="G11" s="59">
        <v>2</v>
      </c>
      <c r="H11" s="44">
        <f>IF(D11&gt;0, D11*(((1+F11/12/100)^(G11*12)-1)/(F11/12/100))*(1+F11/12/100), 0)</f>
        <v>0</v>
      </c>
      <c r="I11" s="60" t="s">
        <v>198</v>
      </c>
    </row>
    <row r="12" spans="1:9" ht="21.75" customHeight="1" x14ac:dyDescent="0.45">
      <c r="B12" s="31" t="s">
        <v>152</v>
      </c>
      <c r="C12" s="56" t="s">
        <v>197</v>
      </c>
      <c r="D12" s="29">
        <v>0</v>
      </c>
      <c r="E12" s="57">
        <f>D12*12</f>
        <v>0</v>
      </c>
      <c r="F12" s="58">
        <v>7.5</v>
      </c>
      <c r="G12" s="59">
        <v>3</v>
      </c>
      <c r="H12" s="44">
        <f>IF(D12&gt;0, D12*(((1+F12/12/100)^(G12*12)-1)/(F12/12/100))*(1+F12/12/100), 0)</f>
        <v>0</v>
      </c>
      <c r="I12" s="63" t="s">
        <v>200</v>
      </c>
    </row>
    <row r="13" spans="1:9" ht="21.75" customHeight="1" x14ac:dyDescent="0.45">
      <c r="B13" s="35" t="s">
        <v>201</v>
      </c>
      <c r="C13" s="61" t="s">
        <v>197</v>
      </c>
      <c r="D13" s="29">
        <v>0</v>
      </c>
      <c r="E13" s="62">
        <f>D13*12</f>
        <v>0</v>
      </c>
      <c r="F13" s="58">
        <v>7</v>
      </c>
      <c r="G13" s="59">
        <v>2</v>
      </c>
      <c r="H13" s="44">
        <f>IF(D13&gt;0, D13*(((1+F13/12/100)^(G13*12)-1)/(F13/12/100))*(1+F13/12/100), 0)</f>
        <v>0</v>
      </c>
      <c r="I13" s="60" t="s">
        <v>202</v>
      </c>
    </row>
    <row r="14" spans="1:9" ht="25.5" customHeight="1" x14ac:dyDescent="0.45">
      <c r="B14" s="31" t="s">
        <v>203</v>
      </c>
      <c r="C14" s="56" t="s">
        <v>197</v>
      </c>
      <c r="D14" s="29">
        <v>0</v>
      </c>
      <c r="E14" s="57">
        <f>D14*12</f>
        <v>0</v>
      </c>
      <c r="F14" s="58">
        <v>7.5</v>
      </c>
      <c r="G14" s="59">
        <v>1</v>
      </c>
      <c r="H14" s="44">
        <f>IF(D14&gt;0, D14*(((1+F14/12/100)^(G14*12)-1)/(F14/12/100))*(1+F14/12/100), 0)</f>
        <v>0</v>
      </c>
      <c r="I14" s="60" t="s">
        <v>202</v>
      </c>
    </row>
    <row r="15" spans="1:9" ht="21.75" customHeight="1" x14ac:dyDescent="0.45">
      <c r="B15" s="90" t="s">
        <v>204</v>
      </c>
      <c r="C15" s="90"/>
      <c r="D15" s="90"/>
      <c r="E15" s="90"/>
      <c r="F15" s="90"/>
      <c r="G15" s="90"/>
      <c r="H15" s="90"/>
      <c r="I15" s="90"/>
    </row>
    <row r="16" spans="1:9" ht="21.75" customHeight="1" x14ac:dyDescent="0.45">
      <c r="B16" s="31" t="s">
        <v>205</v>
      </c>
      <c r="C16" s="56" t="s">
        <v>206</v>
      </c>
      <c r="D16" s="29">
        <v>0</v>
      </c>
      <c r="E16" s="57">
        <f>D16*12</f>
        <v>0</v>
      </c>
      <c r="F16" s="58">
        <v>10</v>
      </c>
      <c r="G16" s="59">
        <v>5</v>
      </c>
      <c r="H16" s="44">
        <f>IF(D16&gt;0, D16*(((1+F16/12/100)^(G16*12)-1)/(F16/12/100))*(1+F16/12/100), 0)</f>
        <v>0</v>
      </c>
      <c r="I16" s="63" t="s">
        <v>207</v>
      </c>
    </row>
    <row r="17" spans="2:9" ht="21.75" customHeight="1" x14ac:dyDescent="0.45">
      <c r="B17" s="35" t="s">
        <v>208</v>
      </c>
      <c r="C17" s="61" t="s">
        <v>206</v>
      </c>
      <c r="D17" s="29">
        <v>5000</v>
      </c>
      <c r="E17" s="62">
        <f>D17*12</f>
        <v>60000</v>
      </c>
      <c r="F17" s="58">
        <v>12</v>
      </c>
      <c r="G17" s="59">
        <v>5</v>
      </c>
      <c r="H17" s="44">
        <f>IF(D17&gt;0, D17*(((1+F17/12/100)^(G17*12)-1)/(F17/12/100))*(1+F17/12/100), 0)</f>
        <v>412431.83277486614</v>
      </c>
      <c r="I17" s="63" t="s">
        <v>207</v>
      </c>
    </row>
    <row r="18" spans="2:9" ht="21.75" customHeight="1" x14ac:dyDescent="0.45">
      <c r="B18" s="31" t="s">
        <v>209</v>
      </c>
      <c r="C18" s="56" t="s">
        <v>206</v>
      </c>
      <c r="D18" s="29">
        <v>0</v>
      </c>
      <c r="E18" s="57">
        <f>D18*12</f>
        <v>0</v>
      </c>
      <c r="F18" s="58">
        <v>13</v>
      </c>
      <c r="G18" s="59">
        <v>5</v>
      </c>
      <c r="H18" s="44">
        <f>IF(D18&gt;0, D18*(((1+F18/12/100)^(G18*12)-1)/(F18/12/100))*(1+F18/12/100), 0)</f>
        <v>0</v>
      </c>
      <c r="I18" s="63" t="s">
        <v>210</v>
      </c>
    </row>
    <row r="19" spans="2:9" ht="21.75" customHeight="1" x14ac:dyDescent="0.45">
      <c r="B19" s="35" t="s">
        <v>211</v>
      </c>
      <c r="C19" s="61" t="s">
        <v>206</v>
      </c>
      <c r="D19" s="29">
        <v>0</v>
      </c>
      <c r="E19" s="62">
        <f>D19*12</f>
        <v>0</v>
      </c>
      <c r="F19" s="58">
        <v>8</v>
      </c>
      <c r="G19" s="59">
        <v>4</v>
      </c>
      <c r="H19" s="44">
        <f>IF(D19&gt;0, D19*(((1+F19/12/100)^(G19*12)-1)/(F19/12/100))*(1+F19/12/100), 0)</f>
        <v>0</v>
      </c>
      <c r="I19" s="63" t="s">
        <v>212</v>
      </c>
    </row>
    <row r="20" spans="2:9" ht="25.5" customHeight="1" x14ac:dyDescent="0.45">
      <c r="B20" s="31" t="s">
        <v>213</v>
      </c>
      <c r="C20" s="56" t="s">
        <v>206</v>
      </c>
      <c r="D20" s="29">
        <v>0</v>
      </c>
      <c r="E20" s="57">
        <f>D20*12</f>
        <v>0</v>
      </c>
      <c r="F20" s="58">
        <v>8.5</v>
      </c>
      <c r="G20" s="59">
        <v>5</v>
      </c>
      <c r="H20" s="44">
        <f>IF(D20&gt;0, D20*(((1+F20/12/100)^(G20*12)-1)/(F20/12/100))*(1+F20/12/100), 0)</f>
        <v>0</v>
      </c>
      <c r="I20" s="63" t="s">
        <v>214</v>
      </c>
    </row>
    <row r="21" spans="2:9" ht="21.75" customHeight="1" x14ac:dyDescent="0.45">
      <c r="B21" s="90" t="s">
        <v>215</v>
      </c>
      <c r="C21" s="90"/>
      <c r="D21" s="90"/>
      <c r="E21" s="90"/>
      <c r="F21" s="90"/>
      <c r="G21" s="90"/>
      <c r="H21" s="90"/>
      <c r="I21" s="90"/>
    </row>
    <row r="22" spans="2:9" ht="21.75" customHeight="1" x14ac:dyDescent="0.45">
      <c r="B22" s="31" t="s">
        <v>216</v>
      </c>
      <c r="C22" s="56" t="s">
        <v>217</v>
      </c>
      <c r="D22" s="29">
        <v>5000</v>
      </c>
      <c r="E22" s="57">
        <f t="shared" ref="E22:E28" si="0">D22*12</f>
        <v>60000</v>
      </c>
      <c r="F22" s="58">
        <v>12</v>
      </c>
      <c r="G22" s="59">
        <v>10</v>
      </c>
      <c r="H22" s="44">
        <f t="shared" ref="H22:H28" si="1">IF(D22&gt;0, D22*(((1+F22/12/100)^(G22*12)-1)/(F22/12/100))*(1+F22/12/100), 0)</f>
        <v>1161695.3817597034</v>
      </c>
      <c r="I22" s="63" t="s">
        <v>218</v>
      </c>
    </row>
    <row r="23" spans="2:9" ht="21.75" customHeight="1" x14ac:dyDescent="0.45">
      <c r="B23" s="35" t="s">
        <v>219</v>
      </c>
      <c r="C23" s="61" t="s">
        <v>217</v>
      </c>
      <c r="D23" s="29">
        <v>5000</v>
      </c>
      <c r="E23" s="62">
        <f t="shared" si="0"/>
        <v>60000</v>
      </c>
      <c r="F23" s="58">
        <v>14</v>
      </c>
      <c r="G23" s="59">
        <v>10</v>
      </c>
      <c r="H23" s="44">
        <f t="shared" si="1"/>
        <v>1310456.9137021243</v>
      </c>
      <c r="I23" s="63" t="s">
        <v>218</v>
      </c>
    </row>
    <row r="24" spans="2:9" ht="21.75" customHeight="1" x14ac:dyDescent="0.45">
      <c r="B24" s="31" t="s">
        <v>220</v>
      </c>
      <c r="C24" s="56" t="s">
        <v>217</v>
      </c>
      <c r="D24" s="29">
        <v>3000</v>
      </c>
      <c r="E24" s="57">
        <f t="shared" si="0"/>
        <v>36000</v>
      </c>
      <c r="F24" s="58">
        <v>16</v>
      </c>
      <c r="G24" s="59">
        <v>15</v>
      </c>
      <c r="H24" s="44">
        <f t="shared" si="1"/>
        <v>2245739.9740139768</v>
      </c>
      <c r="I24" s="63" t="s">
        <v>218</v>
      </c>
    </row>
    <row r="25" spans="2:9" ht="21.75" customHeight="1" x14ac:dyDescent="0.45">
      <c r="B25" s="35" t="s">
        <v>221</v>
      </c>
      <c r="C25" s="61" t="s">
        <v>217</v>
      </c>
      <c r="D25" s="29">
        <v>0</v>
      </c>
      <c r="E25" s="62">
        <f t="shared" si="0"/>
        <v>0</v>
      </c>
      <c r="F25" s="58">
        <v>12</v>
      </c>
      <c r="G25" s="59">
        <v>10</v>
      </c>
      <c r="H25" s="44">
        <f t="shared" si="1"/>
        <v>0</v>
      </c>
      <c r="I25" s="63" t="s">
        <v>214</v>
      </c>
    </row>
    <row r="26" spans="2:9" ht="21.75" customHeight="1" x14ac:dyDescent="0.45">
      <c r="B26" s="31" t="s">
        <v>222</v>
      </c>
      <c r="C26" s="56" t="s">
        <v>217</v>
      </c>
      <c r="D26" s="29">
        <v>15000</v>
      </c>
      <c r="E26" s="57">
        <f t="shared" si="0"/>
        <v>180000</v>
      </c>
      <c r="F26" s="58">
        <v>7.1</v>
      </c>
      <c r="G26" s="59">
        <v>15</v>
      </c>
      <c r="H26" s="44">
        <f t="shared" si="1"/>
        <v>4824361.3718764428</v>
      </c>
      <c r="I26" s="60" t="s">
        <v>223</v>
      </c>
    </row>
    <row r="27" spans="2:9" ht="21.75" customHeight="1" x14ac:dyDescent="0.45">
      <c r="B27" s="35" t="s">
        <v>224</v>
      </c>
      <c r="C27" s="61" t="s">
        <v>217</v>
      </c>
      <c r="D27" s="29">
        <v>0</v>
      </c>
      <c r="E27" s="62">
        <f t="shared" si="0"/>
        <v>0</v>
      </c>
      <c r="F27" s="58">
        <v>10</v>
      </c>
      <c r="G27" s="59">
        <v>20</v>
      </c>
      <c r="H27" s="44">
        <f t="shared" si="1"/>
        <v>0</v>
      </c>
      <c r="I27" s="60" t="s">
        <v>225</v>
      </c>
    </row>
    <row r="28" spans="2:9" ht="21.75" customHeight="1" x14ac:dyDescent="0.45">
      <c r="B28" s="31" t="s">
        <v>226</v>
      </c>
      <c r="C28" s="56" t="s">
        <v>217</v>
      </c>
      <c r="D28" s="29">
        <v>0</v>
      </c>
      <c r="E28" s="57">
        <f t="shared" si="0"/>
        <v>0</v>
      </c>
      <c r="F28" s="58">
        <v>8.5</v>
      </c>
      <c r="G28" s="59">
        <v>20</v>
      </c>
      <c r="H28" s="44">
        <f t="shared" si="1"/>
        <v>0</v>
      </c>
      <c r="I28" s="60" t="s">
        <v>227</v>
      </c>
    </row>
    <row r="29" spans="2:9" ht="25.5" customHeight="1" x14ac:dyDescent="0.45">
      <c r="B29" s="2" t="s">
        <v>228</v>
      </c>
      <c r="C29" s="2"/>
      <c r="D29" s="55">
        <f>D10+D11+D12+D13+D14+D16+D17+D18+D19+D20+D22+D23+D24+D25+D26+D27+D28</f>
        <v>35000</v>
      </c>
    </row>
    <row r="31" spans="2:9" ht="15" customHeight="1" x14ac:dyDescent="0.45">
      <c r="B31" s="8" t="s">
        <v>229</v>
      </c>
      <c r="C31" s="8"/>
      <c r="D31" s="8"/>
      <c r="E31" s="8"/>
      <c r="F31" s="8"/>
      <c r="G31" s="8"/>
      <c r="H31" s="8"/>
      <c r="I31" s="8"/>
    </row>
    <row r="32" spans="2:9" ht="19.5" customHeight="1" x14ac:dyDescent="0.45">
      <c r="B32" s="18" t="s">
        <v>189</v>
      </c>
      <c r="D32" s="18" t="s">
        <v>230</v>
      </c>
      <c r="F32" s="18" t="s">
        <v>231</v>
      </c>
      <c r="H32" s="18" t="s">
        <v>39</v>
      </c>
    </row>
    <row r="33" spans="2:9" ht="19.5" customHeight="1" x14ac:dyDescent="0.45">
      <c r="B33" s="91" t="s">
        <v>232</v>
      </c>
      <c r="C33" s="91"/>
      <c r="D33" s="91" t="s">
        <v>233</v>
      </c>
      <c r="E33" s="91"/>
      <c r="F33" s="91" t="s">
        <v>234</v>
      </c>
      <c r="G33" s="91"/>
      <c r="H33" s="91" t="s">
        <v>235</v>
      </c>
      <c r="I33" s="91"/>
    </row>
    <row r="34" spans="2:9" ht="19.5" customHeight="1" x14ac:dyDescent="0.45">
      <c r="B34" s="92" t="s">
        <v>236</v>
      </c>
      <c r="C34" s="92"/>
      <c r="D34" s="92" t="s">
        <v>237</v>
      </c>
      <c r="E34" s="92"/>
      <c r="F34" s="92" t="s">
        <v>238</v>
      </c>
      <c r="G34" s="92"/>
      <c r="H34" s="92" t="s">
        <v>239</v>
      </c>
      <c r="I34" s="92"/>
    </row>
    <row r="35" spans="2:9" ht="19.5" customHeight="1" x14ac:dyDescent="0.45">
      <c r="B35" s="91" t="s">
        <v>240</v>
      </c>
      <c r="C35" s="91"/>
      <c r="D35" s="91" t="s">
        <v>241</v>
      </c>
      <c r="E35" s="91"/>
      <c r="F35" s="91" t="s">
        <v>242</v>
      </c>
      <c r="G35" s="91"/>
      <c r="H35" s="91" t="s">
        <v>243</v>
      </c>
      <c r="I35" s="91"/>
    </row>
    <row r="36" spans="2:9" ht="19.5" customHeight="1" x14ac:dyDescent="0.45">
      <c r="B36" s="92" t="s">
        <v>244</v>
      </c>
      <c r="C36" s="92"/>
      <c r="D36" s="92" t="s">
        <v>245</v>
      </c>
      <c r="E36" s="92"/>
      <c r="F36" s="92" t="s">
        <v>246</v>
      </c>
      <c r="G36" s="92"/>
      <c r="H36" s="92" t="s">
        <v>247</v>
      </c>
      <c r="I36" s="92"/>
    </row>
    <row r="37" spans="2:9" ht="19.5" customHeight="1" x14ac:dyDescent="0.45">
      <c r="B37" s="91" t="s">
        <v>248</v>
      </c>
      <c r="C37" s="91"/>
      <c r="D37" s="91" t="s">
        <v>249</v>
      </c>
      <c r="E37" s="91"/>
      <c r="F37" s="91" t="s">
        <v>250</v>
      </c>
      <c r="G37" s="91"/>
      <c r="H37" s="91" t="s">
        <v>251</v>
      </c>
      <c r="I37" s="91"/>
    </row>
    <row r="38" spans="2:9" ht="19.5" customHeight="1" x14ac:dyDescent="0.45">
      <c r="B38" s="92" t="s">
        <v>252</v>
      </c>
      <c r="C38" s="92"/>
      <c r="D38" s="92" t="s">
        <v>241</v>
      </c>
      <c r="E38" s="92"/>
      <c r="F38" s="92" t="s">
        <v>253</v>
      </c>
      <c r="G38" s="92"/>
      <c r="H38" s="92" t="s">
        <v>254</v>
      </c>
      <c r="I38" s="92"/>
    </row>
    <row r="39" spans="2:9" ht="19.5" customHeight="1" x14ac:dyDescent="0.45">
      <c r="B39" s="91" t="s">
        <v>255</v>
      </c>
      <c r="C39" s="91"/>
      <c r="D39" s="91" t="s">
        <v>256</v>
      </c>
      <c r="E39" s="91"/>
      <c r="F39" s="91" t="s">
        <v>257</v>
      </c>
      <c r="G39" s="91"/>
      <c r="H39" s="91" t="s">
        <v>258</v>
      </c>
      <c r="I39" s="91"/>
    </row>
    <row r="40" spans="2:9" ht="19.5" customHeight="1" x14ac:dyDescent="0.45">
      <c r="B40" s="92" t="s">
        <v>259</v>
      </c>
      <c r="C40" s="92"/>
      <c r="D40" s="92" t="s">
        <v>241</v>
      </c>
      <c r="E40" s="92"/>
      <c r="F40" s="92" t="s">
        <v>260</v>
      </c>
      <c r="G40" s="92"/>
      <c r="H40" s="92" t="s">
        <v>261</v>
      </c>
      <c r="I40" s="92"/>
    </row>
    <row r="41" spans="2:9" ht="19.5" customHeight="1" x14ac:dyDescent="0.45">
      <c r="B41" s="91" t="s">
        <v>262</v>
      </c>
      <c r="C41" s="91"/>
      <c r="D41" s="91" t="s">
        <v>233</v>
      </c>
      <c r="E41" s="91"/>
      <c r="F41" s="91" t="s">
        <v>263</v>
      </c>
      <c r="G41" s="91"/>
      <c r="H41" s="91" t="s">
        <v>264</v>
      </c>
      <c r="I41" s="91"/>
    </row>
    <row r="42" spans="2:9" ht="19.5" customHeight="1" x14ac:dyDescent="0.45">
      <c r="B42" s="92" t="s">
        <v>265</v>
      </c>
      <c r="C42" s="92"/>
      <c r="D42" s="92" t="s">
        <v>245</v>
      </c>
      <c r="E42" s="92"/>
      <c r="F42" s="92" t="s">
        <v>266</v>
      </c>
      <c r="G42" s="92"/>
      <c r="H42" s="92" t="s">
        <v>267</v>
      </c>
      <c r="I42" s="92"/>
    </row>
  </sheetData>
  <mergeCells count="50">
    <mergeCell ref="B41:C41"/>
    <mergeCell ref="D41:E41"/>
    <mergeCell ref="F41:G41"/>
    <mergeCell ref="H41:I41"/>
    <mergeCell ref="B42:C42"/>
    <mergeCell ref="D42:E42"/>
    <mergeCell ref="F42:G42"/>
    <mergeCell ref="H42:I42"/>
    <mergeCell ref="B39:C39"/>
    <mergeCell ref="D39:E39"/>
    <mergeCell ref="F39:G39"/>
    <mergeCell ref="H39:I39"/>
    <mergeCell ref="B40:C40"/>
    <mergeCell ref="D40:E40"/>
    <mergeCell ref="F40:G40"/>
    <mergeCell ref="H40:I40"/>
    <mergeCell ref="B37:C37"/>
    <mergeCell ref="D37:E37"/>
    <mergeCell ref="F37:G37"/>
    <mergeCell ref="H37:I37"/>
    <mergeCell ref="B38:C38"/>
    <mergeCell ref="D38:E38"/>
    <mergeCell ref="F38:G38"/>
    <mergeCell ref="H38:I38"/>
    <mergeCell ref="B35:C35"/>
    <mergeCell ref="D35:E35"/>
    <mergeCell ref="F35:G35"/>
    <mergeCell ref="H35:I35"/>
    <mergeCell ref="B36:C36"/>
    <mergeCell ref="D36:E36"/>
    <mergeCell ref="F36:G36"/>
    <mergeCell ref="H36:I36"/>
    <mergeCell ref="B33:C33"/>
    <mergeCell ref="D33:E33"/>
    <mergeCell ref="F33:G33"/>
    <mergeCell ref="H33:I33"/>
    <mergeCell ref="B34:C34"/>
    <mergeCell ref="D34:E34"/>
    <mergeCell ref="F34:G34"/>
    <mergeCell ref="H34:I34"/>
    <mergeCell ref="B9:I9"/>
    <mergeCell ref="B15:I15"/>
    <mergeCell ref="B21:I21"/>
    <mergeCell ref="B29:C29"/>
    <mergeCell ref="B31:I31"/>
    <mergeCell ref="A1:H1"/>
    <mergeCell ref="A2:H2"/>
    <mergeCell ref="A3:H3"/>
    <mergeCell ref="B5:H5"/>
    <mergeCell ref="B7:I7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7"/>
  <sheetViews>
    <sheetView showGridLines="0" zoomScaleNormal="100" workbookViewId="0">
      <pane xSplit="1" ySplit="3" topLeftCell="B54" activePane="bottomRight" state="frozen"/>
      <selection pane="topRight" activeCell="B1" sqref="B1"/>
      <selection pane="bottomLeft" activeCell="A56" sqref="A56"/>
      <selection pane="bottomRight" activeCell="D28" sqref="D28"/>
    </sheetView>
  </sheetViews>
  <sheetFormatPr defaultColWidth="8.6640625" defaultRowHeight="14.25" x14ac:dyDescent="0.45"/>
  <cols>
    <col min="1" max="1" width="3" style="15" customWidth="1"/>
    <col min="2" max="2" width="30" style="15" customWidth="1"/>
    <col min="3" max="6" width="22" style="15" customWidth="1"/>
    <col min="7" max="7" width="24" style="15" customWidth="1"/>
    <col min="8" max="8" width="5" style="15" customWidth="1"/>
  </cols>
  <sheetData>
    <row r="1" spans="1:8" ht="39.75" customHeight="1" x14ac:dyDescent="0.45">
      <c r="A1" s="14" t="s">
        <v>0</v>
      </c>
      <c r="B1" s="14"/>
      <c r="C1" s="14"/>
      <c r="D1" s="14"/>
      <c r="E1" s="14"/>
      <c r="F1" s="14"/>
      <c r="G1" s="14"/>
      <c r="H1" s="14"/>
    </row>
    <row r="2" spans="1:8" ht="21.75" customHeight="1" x14ac:dyDescent="0.45">
      <c r="A2" s="13" t="s">
        <v>268</v>
      </c>
      <c r="B2" s="13"/>
      <c r="C2" s="13"/>
      <c r="D2" s="13"/>
      <c r="E2" s="13"/>
      <c r="F2" s="13"/>
      <c r="G2" s="13"/>
      <c r="H2" s="13"/>
    </row>
    <row r="3" spans="1:8" ht="18" customHeight="1" x14ac:dyDescent="0.45">
      <c r="A3" s="12" t="s">
        <v>269</v>
      </c>
      <c r="B3" s="12"/>
      <c r="C3" s="12"/>
      <c r="D3" s="12"/>
      <c r="E3" s="12"/>
      <c r="F3" s="12"/>
      <c r="G3" s="12"/>
      <c r="H3" s="12"/>
    </row>
    <row r="5" spans="1:8" ht="43.5" customHeight="1" x14ac:dyDescent="0.45">
      <c r="B5" s="93" t="s">
        <v>270</v>
      </c>
      <c r="C5" s="93"/>
      <c r="D5" s="93"/>
      <c r="E5" s="93"/>
      <c r="F5" s="93"/>
      <c r="G5" s="93"/>
    </row>
    <row r="7" spans="1:8" ht="24" customHeight="1" x14ac:dyDescent="0.45">
      <c r="B7" s="9" t="s">
        <v>271</v>
      </c>
      <c r="C7" s="9"/>
      <c r="D7" s="9"/>
      <c r="E7" s="9"/>
      <c r="F7" s="9"/>
      <c r="G7" s="9"/>
    </row>
    <row r="8" spans="1:8" ht="21.75" customHeight="1" x14ac:dyDescent="0.45">
      <c r="B8" s="78" t="s">
        <v>272</v>
      </c>
      <c r="C8" s="78"/>
      <c r="D8" s="29">
        <v>100000</v>
      </c>
    </row>
    <row r="9" spans="1:8" ht="21.75" customHeight="1" x14ac:dyDescent="0.45">
      <c r="B9" s="79" t="s">
        <v>273</v>
      </c>
      <c r="C9" s="79"/>
      <c r="D9" s="64">
        <v>6.5</v>
      </c>
    </row>
    <row r="10" spans="1:8" ht="21.75" customHeight="1" x14ac:dyDescent="0.45">
      <c r="B10" s="78" t="s">
        <v>274</v>
      </c>
      <c r="C10" s="78"/>
      <c r="D10" s="49">
        <v>3</v>
      </c>
    </row>
    <row r="11" spans="1:8" ht="21.75" customHeight="1" x14ac:dyDescent="0.45">
      <c r="B11" s="79" t="s">
        <v>275</v>
      </c>
      <c r="C11" s="79"/>
      <c r="D11" s="49">
        <v>4</v>
      </c>
    </row>
    <row r="12" spans="1:8" ht="21.75" customHeight="1" x14ac:dyDescent="0.45">
      <c r="B12" s="78" t="s">
        <v>276</v>
      </c>
      <c r="C12" s="78"/>
      <c r="D12" s="65">
        <v>30</v>
      </c>
    </row>
    <row r="13" spans="1:8" ht="21.75" customHeight="1" x14ac:dyDescent="0.45">
      <c r="B13" s="79" t="s">
        <v>277</v>
      </c>
      <c r="C13" s="79"/>
      <c r="D13" s="65">
        <v>10</v>
      </c>
    </row>
    <row r="14" spans="1:8" ht="21.75" customHeight="1" x14ac:dyDescent="0.45">
      <c r="B14" s="84" t="s">
        <v>278</v>
      </c>
      <c r="C14" s="84"/>
      <c r="D14" s="44">
        <f>D8*(1+(D9/100/D11))^(D11*D10)</f>
        <v>121340.75789595539</v>
      </c>
    </row>
    <row r="15" spans="1:8" ht="21.75" customHeight="1" x14ac:dyDescent="0.45">
      <c r="B15" s="80" t="s">
        <v>279</v>
      </c>
      <c r="C15" s="80"/>
      <c r="D15" s="62">
        <f>D14-D8</f>
        <v>21340.757895955394</v>
      </c>
    </row>
    <row r="16" spans="1:8" ht="21.75" customHeight="1" x14ac:dyDescent="0.45">
      <c r="B16" s="81" t="s">
        <v>280</v>
      </c>
      <c r="C16" s="81"/>
      <c r="D16" s="57">
        <f>D15/D10</f>
        <v>7113.5859653184643</v>
      </c>
    </row>
    <row r="17" spans="2:7" ht="21.75" customHeight="1" x14ac:dyDescent="0.45">
      <c r="B17" s="94" t="s">
        <v>281</v>
      </c>
      <c r="C17" s="94"/>
      <c r="D17" s="48">
        <f>D15*(D12/100)</f>
        <v>6402.2273687866182</v>
      </c>
    </row>
    <row r="18" spans="2:7" ht="21.75" customHeight="1" x14ac:dyDescent="0.45">
      <c r="B18" s="81" t="s">
        <v>282</v>
      </c>
      <c r="C18" s="81"/>
      <c r="D18" s="57">
        <f>D15*(D13/100)</f>
        <v>2134.0757895955394</v>
      </c>
    </row>
    <row r="19" spans="2:7" ht="21.75" customHeight="1" x14ac:dyDescent="0.45">
      <c r="B19" s="94" t="s">
        <v>283</v>
      </c>
      <c r="C19" s="94"/>
      <c r="D19" s="48">
        <f>D17-D18</f>
        <v>4268.1515791910788</v>
      </c>
    </row>
    <row r="20" spans="2:7" ht="21.75" customHeight="1" x14ac:dyDescent="0.45">
      <c r="B20" s="84" t="s">
        <v>284</v>
      </c>
      <c r="C20" s="84"/>
      <c r="D20" s="44">
        <f>D8+D15-D17</f>
        <v>114938.53052716877</v>
      </c>
    </row>
    <row r="21" spans="2:7" ht="21.75" customHeight="1" x14ac:dyDescent="0.45">
      <c r="B21" s="94" t="s">
        <v>285</v>
      </c>
      <c r="C21" s="94"/>
      <c r="D21" s="66">
        <f>((D14/D8)^(1/D10)-1)*100</f>
        <v>6.6601608791504452</v>
      </c>
    </row>
    <row r="22" spans="2:7" ht="21.75" customHeight="1" x14ac:dyDescent="0.45">
      <c r="B22" s="84" t="s">
        <v>286</v>
      </c>
      <c r="C22" s="84"/>
      <c r="D22" s="67">
        <f>((D20/D8)^(1/D10)-1)*100</f>
        <v>4.7502850555997567</v>
      </c>
    </row>
    <row r="23" spans="2:7" ht="24" customHeight="1" x14ac:dyDescent="0.45">
      <c r="B23" s="95" t="s">
        <v>287</v>
      </c>
      <c r="C23" s="95"/>
      <c r="D23" s="96" t="str">
        <f>IF(D22&gt;6,"✅ Good post-tax yield — beats ~5-6% inflation","⚠️ Real return may be near zero after inflation")</f>
        <v>⚠️ Real return may be near zero after inflation</v>
      </c>
      <c r="E23" s="96"/>
      <c r="F23" s="96"/>
      <c r="G23" s="96"/>
    </row>
    <row r="25" spans="2:7" ht="24" customHeight="1" x14ac:dyDescent="0.45">
      <c r="B25" s="11" t="s">
        <v>288</v>
      </c>
      <c r="C25" s="11"/>
      <c r="D25" s="11"/>
      <c r="E25" s="11"/>
      <c r="F25" s="11"/>
      <c r="G25" s="11"/>
    </row>
    <row r="26" spans="2:7" ht="21.75" customHeight="1" x14ac:dyDescent="0.45">
      <c r="B26" s="78" t="s">
        <v>272</v>
      </c>
      <c r="C26" s="78"/>
      <c r="D26" s="29">
        <v>100000</v>
      </c>
    </row>
    <row r="27" spans="2:7" ht="21.75" customHeight="1" x14ac:dyDescent="0.45">
      <c r="B27" s="79" t="s">
        <v>273</v>
      </c>
      <c r="C27" s="79"/>
      <c r="D27" s="64">
        <v>7</v>
      </c>
    </row>
    <row r="28" spans="2:7" ht="21.75" customHeight="1" x14ac:dyDescent="0.45">
      <c r="B28" s="78" t="s">
        <v>274</v>
      </c>
      <c r="C28" s="78"/>
      <c r="D28" s="49">
        <v>3</v>
      </c>
    </row>
    <row r="29" spans="2:7" ht="32.25" customHeight="1" x14ac:dyDescent="0.45">
      <c r="B29" s="79" t="s">
        <v>275</v>
      </c>
      <c r="C29" s="79"/>
      <c r="D29" s="49">
        <v>4</v>
      </c>
    </row>
    <row r="30" spans="2:7" ht="21.75" customHeight="1" x14ac:dyDescent="0.45">
      <c r="B30" s="78" t="s">
        <v>276</v>
      </c>
      <c r="C30" s="78"/>
      <c r="D30" s="65">
        <v>30</v>
      </c>
    </row>
    <row r="31" spans="2:7" ht="21.75" customHeight="1" x14ac:dyDescent="0.45">
      <c r="B31" s="79" t="s">
        <v>277</v>
      </c>
      <c r="C31" s="79"/>
      <c r="D31" s="65">
        <v>10</v>
      </c>
    </row>
    <row r="32" spans="2:7" ht="21.75" customHeight="1" x14ac:dyDescent="0.45">
      <c r="B32" s="84" t="s">
        <v>278</v>
      </c>
      <c r="C32" s="84"/>
      <c r="D32" s="44">
        <f>D26*(1+(D27/100/D29))^(D29*D28)</f>
        <v>123143.93149447924</v>
      </c>
    </row>
    <row r="33" spans="2:7" ht="21.75" customHeight="1" x14ac:dyDescent="0.45">
      <c r="B33" s="80" t="s">
        <v>279</v>
      </c>
      <c r="C33" s="80"/>
      <c r="D33" s="62">
        <f>D32-D26</f>
        <v>23143.931494479242</v>
      </c>
    </row>
    <row r="34" spans="2:7" ht="21.75" customHeight="1" x14ac:dyDescent="0.45">
      <c r="B34" s="81" t="s">
        <v>280</v>
      </c>
      <c r="C34" s="81"/>
      <c r="D34" s="57">
        <f>D33/D28</f>
        <v>7714.6438314930811</v>
      </c>
    </row>
    <row r="35" spans="2:7" ht="21.75" customHeight="1" x14ac:dyDescent="0.45">
      <c r="B35" s="94" t="s">
        <v>281</v>
      </c>
      <c r="C35" s="94"/>
      <c r="D35" s="48">
        <f>D33*(D30/100)</f>
        <v>6943.1794483437725</v>
      </c>
    </row>
    <row r="36" spans="2:7" ht="21.75" customHeight="1" x14ac:dyDescent="0.45">
      <c r="B36" s="81" t="s">
        <v>282</v>
      </c>
      <c r="C36" s="81"/>
      <c r="D36" s="57">
        <f>D33*(D31/100)</f>
        <v>2314.3931494479243</v>
      </c>
    </row>
    <row r="37" spans="2:7" ht="21.75" customHeight="1" x14ac:dyDescent="0.45">
      <c r="B37" s="94" t="s">
        <v>283</v>
      </c>
      <c r="C37" s="94"/>
      <c r="D37" s="48">
        <f>D35-D36</f>
        <v>4628.7862988958477</v>
      </c>
    </row>
    <row r="38" spans="2:7" ht="21.75" customHeight="1" x14ac:dyDescent="0.45">
      <c r="B38" s="84" t="s">
        <v>284</v>
      </c>
      <c r="C38" s="84"/>
      <c r="D38" s="44">
        <f>D26+D33-D35</f>
        <v>116200.75204613547</v>
      </c>
    </row>
    <row r="39" spans="2:7" ht="21.75" customHeight="1" x14ac:dyDescent="0.45">
      <c r="B39" s="94" t="s">
        <v>285</v>
      </c>
      <c r="C39" s="94"/>
      <c r="D39" s="66">
        <f>((D32/D26)^(1/D28)-1)*100</f>
        <v>7.1859031289062791</v>
      </c>
    </row>
    <row r="40" spans="2:7" ht="21.75" customHeight="1" x14ac:dyDescent="0.45">
      <c r="B40" s="84" t="s">
        <v>286</v>
      </c>
      <c r="C40" s="84"/>
      <c r="D40" s="67">
        <f>((D38/D26)^(1/D28)-1)*100</f>
        <v>5.1323356503590212</v>
      </c>
    </row>
    <row r="41" spans="2:7" ht="24" customHeight="1" x14ac:dyDescent="0.45">
      <c r="B41" s="95" t="s">
        <v>287</v>
      </c>
      <c r="C41" s="95"/>
      <c r="D41" s="96" t="str">
        <f>IF(D40&gt;6,"✅ Good post-tax yield — beats ~5-6% inflation","⚠️ Real return may be near zero after inflation")</f>
        <v>⚠️ Real return may be near zero after inflation</v>
      </c>
      <c r="E41" s="96"/>
      <c r="F41" s="96"/>
      <c r="G41" s="96"/>
    </row>
    <row r="43" spans="2:7" ht="24" customHeight="1" x14ac:dyDescent="0.45">
      <c r="B43" s="8" t="s">
        <v>289</v>
      </c>
      <c r="C43" s="8"/>
      <c r="D43" s="8"/>
      <c r="E43" s="8"/>
      <c r="F43" s="8"/>
      <c r="G43" s="8"/>
    </row>
    <row r="44" spans="2:7" ht="21.75" customHeight="1" x14ac:dyDescent="0.45">
      <c r="B44" s="78" t="s">
        <v>272</v>
      </c>
      <c r="C44" s="78"/>
      <c r="D44" s="29">
        <v>100000</v>
      </c>
    </row>
    <row r="45" spans="2:7" ht="21.75" customHeight="1" x14ac:dyDescent="0.45">
      <c r="B45" s="79" t="s">
        <v>273</v>
      </c>
      <c r="C45" s="79"/>
      <c r="D45" s="64">
        <v>7.5</v>
      </c>
    </row>
    <row r="46" spans="2:7" ht="21.75" customHeight="1" x14ac:dyDescent="0.45">
      <c r="B46" s="78" t="s">
        <v>274</v>
      </c>
      <c r="C46" s="78"/>
      <c r="D46" s="49">
        <v>3</v>
      </c>
    </row>
    <row r="47" spans="2:7" ht="21.75" customHeight="1" x14ac:dyDescent="0.45">
      <c r="B47" s="79" t="s">
        <v>275</v>
      </c>
      <c r="C47" s="79"/>
      <c r="D47" s="49">
        <v>4</v>
      </c>
    </row>
    <row r="48" spans="2:7" ht="21.75" customHeight="1" x14ac:dyDescent="0.45">
      <c r="B48" s="78" t="s">
        <v>276</v>
      </c>
      <c r="C48" s="78"/>
      <c r="D48" s="65">
        <v>30</v>
      </c>
    </row>
    <row r="49" spans="2:7" ht="21.75" customHeight="1" x14ac:dyDescent="0.45">
      <c r="B49" s="79" t="s">
        <v>277</v>
      </c>
      <c r="C49" s="79"/>
      <c r="D49" s="65">
        <v>10</v>
      </c>
    </row>
    <row r="50" spans="2:7" ht="21.75" customHeight="1" x14ac:dyDescent="0.45">
      <c r="B50" s="84" t="s">
        <v>278</v>
      </c>
      <c r="C50" s="84"/>
      <c r="D50" s="44">
        <f>D44*(1+(D45/100/D47))^(D47*D46)</f>
        <v>124971.63766330226</v>
      </c>
    </row>
    <row r="51" spans="2:7" ht="21.75" customHeight="1" x14ac:dyDescent="0.45">
      <c r="B51" s="80" t="s">
        <v>279</v>
      </c>
      <c r="C51" s="80"/>
      <c r="D51" s="62">
        <f>D50-D44</f>
        <v>24971.637663302259</v>
      </c>
    </row>
    <row r="52" spans="2:7" ht="21.75" customHeight="1" x14ac:dyDescent="0.45">
      <c r="B52" s="81" t="s">
        <v>280</v>
      </c>
      <c r="C52" s="81"/>
      <c r="D52" s="57">
        <f>D51/D46</f>
        <v>8323.8792211007531</v>
      </c>
    </row>
    <row r="53" spans="2:7" ht="21.75" customHeight="1" x14ac:dyDescent="0.45">
      <c r="B53" s="94" t="s">
        <v>281</v>
      </c>
      <c r="C53" s="94"/>
      <c r="D53" s="48">
        <f>D51*(D48/100)</f>
        <v>7491.491298990677</v>
      </c>
    </row>
    <row r="54" spans="2:7" ht="21.75" customHeight="1" x14ac:dyDescent="0.45">
      <c r="B54" s="81" t="s">
        <v>282</v>
      </c>
      <c r="C54" s="81"/>
      <c r="D54" s="57">
        <f>D51*(D49/100)</f>
        <v>2497.1637663302263</v>
      </c>
    </row>
    <row r="55" spans="2:7" ht="21.75" customHeight="1" x14ac:dyDescent="0.45">
      <c r="B55" s="94" t="s">
        <v>283</v>
      </c>
      <c r="C55" s="94"/>
      <c r="D55" s="48">
        <f>D53-D54</f>
        <v>4994.3275326604507</v>
      </c>
    </row>
    <row r="56" spans="2:7" ht="21.75" customHeight="1" x14ac:dyDescent="0.45">
      <c r="B56" s="84" t="s">
        <v>284</v>
      </c>
      <c r="C56" s="84"/>
      <c r="D56" s="44">
        <f>D44+D51-D53</f>
        <v>117480.14636431159</v>
      </c>
    </row>
    <row r="57" spans="2:7" ht="21.75" customHeight="1" x14ac:dyDescent="0.45">
      <c r="B57" s="94" t="s">
        <v>285</v>
      </c>
      <c r="C57" s="94"/>
      <c r="D57" s="66">
        <f>((D50/D44)^(1/D46)-1)*100</f>
        <v>7.713586578369136</v>
      </c>
    </row>
    <row r="58" spans="2:7" ht="21.75" customHeight="1" x14ac:dyDescent="0.45">
      <c r="B58" s="84" t="s">
        <v>286</v>
      </c>
      <c r="C58" s="84"/>
      <c r="D58" s="67">
        <f>((D56/D44)^(1/D46)-1)*100</f>
        <v>5.5167711002749531</v>
      </c>
    </row>
    <row r="59" spans="2:7" ht="24" customHeight="1" x14ac:dyDescent="0.45">
      <c r="B59" s="95" t="s">
        <v>287</v>
      </c>
      <c r="C59" s="95"/>
      <c r="D59" s="96" t="str">
        <f>IF(D58&gt;6,"✅ Good post-tax yield — beats ~5-6% inflation","⚠️ Real return may be near zero after inflation")</f>
        <v>⚠️ Real return may be near zero after inflation</v>
      </c>
      <c r="E59" s="96"/>
      <c r="F59" s="96"/>
      <c r="G59" s="96"/>
    </row>
    <row r="61" spans="2:7" ht="15" customHeight="1" x14ac:dyDescent="0.45">
      <c r="B61" s="97" t="s">
        <v>290</v>
      </c>
      <c r="C61" s="97"/>
      <c r="D61" s="97"/>
      <c r="E61" s="97"/>
      <c r="F61" s="97"/>
      <c r="G61" s="97"/>
    </row>
    <row r="62" spans="2:7" ht="21.75" customHeight="1" x14ac:dyDescent="0.45">
      <c r="B62" s="98" t="s">
        <v>291</v>
      </c>
      <c r="C62" s="98"/>
      <c r="D62" s="98"/>
      <c r="E62" s="98"/>
      <c r="F62" s="98"/>
      <c r="G62" s="98"/>
    </row>
    <row r="63" spans="2:7" ht="21.75" customHeight="1" x14ac:dyDescent="0.45">
      <c r="B63" s="98"/>
      <c r="C63" s="98"/>
      <c r="D63" s="98"/>
      <c r="E63" s="98"/>
      <c r="F63" s="98"/>
      <c r="G63" s="98"/>
    </row>
    <row r="64" spans="2:7" ht="21.75" customHeight="1" x14ac:dyDescent="0.45">
      <c r="B64" s="98"/>
      <c r="C64" s="98"/>
      <c r="D64" s="98"/>
      <c r="E64" s="98"/>
      <c r="F64" s="98"/>
      <c r="G64" s="98"/>
    </row>
    <row r="65" spans="2:7" ht="21.75" customHeight="1" x14ac:dyDescent="0.45">
      <c r="B65" s="98"/>
      <c r="C65" s="98"/>
      <c r="D65" s="98"/>
      <c r="E65" s="98"/>
      <c r="F65" s="98"/>
      <c r="G65" s="98"/>
    </row>
    <row r="66" spans="2:7" ht="21.75" customHeight="1" x14ac:dyDescent="0.45">
      <c r="B66" s="98"/>
      <c r="C66" s="98"/>
      <c r="D66" s="98"/>
      <c r="E66" s="98"/>
      <c r="F66" s="98"/>
      <c r="G66" s="98"/>
    </row>
    <row r="67" spans="2:7" ht="46.5" customHeight="1" x14ac:dyDescent="0.45">
      <c r="B67" s="98"/>
      <c r="C67" s="98"/>
      <c r="D67" s="98"/>
      <c r="E67" s="98"/>
      <c r="F67" s="98"/>
      <c r="G67" s="98"/>
    </row>
  </sheetData>
  <mergeCells count="60">
    <mergeCell ref="B58:C58"/>
    <mergeCell ref="B59:C59"/>
    <mergeCell ref="D59:G59"/>
    <mergeCell ref="B61:G61"/>
    <mergeCell ref="B62:G67"/>
    <mergeCell ref="B53:C53"/>
    <mergeCell ref="B54:C54"/>
    <mergeCell ref="B55:C55"/>
    <mergeCell ref="B56:C56"/>
    <mergeCell ref="B57:C57"/>
    <mergeCell ref="B48:C48"/>
    <mergeCell ref="B49:C49"/>
    <mergeCell ref="B50:C50"/>
    <mergeCell ref="B51:C51"/>
    <mergeCell ref="B52:C52"/>
    <mergeCell ref="B43:G43"/>
    <mergeCell ref="B44:C44"/>
    <mergeCell ref="B45:C45"/>
    <mergeCell ref="B46:C46"/>
    <mergeCell ref="B47:C47"/>
    <mergeCell ref="B38:C38"/>
    <mergeCell ref="B39:C39"/>
    <mergeCell ref="B40:C40"/>
    <mergeCell ref="B41:C41"/>
    <mergeCell ref="D41:G41"/>
    <mergeCell ref="B33:C33"/>
    <mergeCell ref="B34:C34"/>
    <mergeCell ref="B35:C35"/>
    <mergeCell ref="B36:C36"/>
    <mergeCell ref="B37:C37"/>
    <mergeCell ref="B28:C28"/>
    <mergeCell ref="B29:C29"/>
    <mergeCell ref="B30:C30"/>
    <mergeCell ref="B31:C31"/>
    <mergeCell ref="B32:C32"/>
    <mergeCell ref="B23:C23"/>
    <mergeCell ref="D23:G23"/>
    <mergeCell ref="B25:G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A1:H1"/>
    <mergeCell ref="A2:H2"/>
    <mergeCell ref="A3:H3"/>
    <mergeCell ref="B5:G5"/>
    <mergeCell ref="B7:G7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📊 Dashboard</vt:lpstr>
      <vt:lpstr>💸 Expenses</vt:lpstr>
      <vt:lpstr>🛡 Emergency Fund</vt:lpstr>
      <vt:lpstr>🔒 Insurance</vt:lpstr>
      <vt:lpstr>📈 Investments</vt:lpstr>
      <vt:lpstr>🏦 FD Calculator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Rahul Kotha</cp:lastModifiedBy>
  <cp:revision>0</cp:revision>
  <dcterms:created xsi:type="dcterms:W3CDTF">2026-03-14T01:12:10Z</dcterms:created>
  <dcterms:modified xsi:type="dcterms:W3CDTF">2026-03-21T01:52:09Z</dcterms:modified>
  <dc:language>en-US</dc:language>
</cp:coreProperties>
</file>